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onkovai\Documents\SAV 2017\"/>
    </mc:Choice>
  </mc:AlternateContent>
  <bookViews>
    <workbookView xWindow="0" yWindow="0" windowWidth="19200" windowHeight="11655"/>
  </bookViews>
  <sheets>
    <sheet name="BE" sheetId="1" r:id="rId1"/>
    <sheet name="GSM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0" i="1" l="1"/>
  <c r="J40" i="1"/>
  <c r="E25" i="1" s="1"/>
  <c r="J41" i="1"/>
  <c r="E26" i="1" s="1"/>
  <c r="J42" i="1"/>
  <c r="E27" i="1" s="1"/>
  <c r="J43" i="1"/>
  <c r="E28" i="1" s="1"/>
  <c r="O1" i="1"/>
  <c r="I49" i="1"/>
  <c r="H49" i="1"/>
  <c r="J48" i="1"/>
  <c r="E33" i="1" s="1"/>
  <c r="J47" i="1"/>
  <c r="E32" i="1" s="1"/>
  <c r="J46" i="1"/>
  <c r="E31" i="1" s="1"/>
  <c r="J45" i="1"/>
  <c r="E30" i="1" s="1"/>
  <c r="J44" i="1"/>
  <c r="E29" i="1" s="1"/>
  <c r="G41" i="1"/>
  <c r="G42" i="1" s="1"/>
  <c r="G43" i="1" s="1"/>
  <c r="G44" i="1" s="1"/>
  <c r="G45" i="1" s="1"/>
  <c r="G46" i="1" s="1"/>
  <c r="G47" i="1" s="1"/>
  <c r="G48" i="1" s="1"/>
  <c r="O25" i="1"/>
  <c r="N25" i="1"/>
  <c r="N31" i="1"/>
  <c r="J49" i="1" l="1"/>
  <c r="L32" i="1"/>
  <c r="L31" i="1" s="1"/>
  <c r="L30" i="1" s="1"/>
  <c r="L29" i="1" s="1"/>
  <c r="L28" i="1" s="1"/>
  <c r="L27" i="1" s="1"/>
  <c r="L26" i="1" s="1"/>
  <c r="L25" i="1" s="1"/>
  <c r="O32" i="1"/>
  <c r="O31" i="1"/>
  <c r="O30" i="1"/>
  <c r="O29" i="1"/>
  <c r="O28" i="1"/>
  <c r="O27" i="1"/>
  <c r="O26" i="1"/>
  <c r="O33" i="1"/>
  <c r="N30" i="1"/>
  <c r="N29" i="1"/>
  <c r="N28" i="1"/>
  <c r="N27" i="1"/>
  <c r="N26" i="1"/>
  <c r="N32" i="1"/>
  <c r="E9" i="1"/>
  <c r="F9" i="1" s="1"/>
  <c r="L9" i="1" s="1"/>
  <c r="E14" i="1"/>
  <c r="F14" i="1" s="1"/>
  <c r="L14" i="1" s="1"/>
  <c r="D21" i="1"/>
  <c r="E5" i="1"/>
  <c r="F5" i="1" s="1"/>
  <c r="L5" i="1" s="1"/>
  <c r="E18" i="1"/>
  <c r="F18" i="1" s="1"/>
  <c r="L18" i="1" s="1"/>
  <c r="E7" i="1"/>
  <c r="F7" i="1" s="1"/>
  <c r="L7" i="1" s="1"/>
  <c r="E8" i="1"/>
  <c r="F8" i="1" s="1"/>
  <c r="L8" i="1" s="1"/>
  <c r="E15" i="1"/>
  <c r="F15" i="1" s="1"/>
  <c r="L15" i="1" s="1"/>
  <c r="E19" i="1"/>
  <c r="F19" i="1" s="1"/>
  <c r="L19" i="1" s="1"/>
  <c r="E13" i="1"/>
  <c r="F13" i="1" s="1"/>
  <c r="L13" i="1" s="1"/>
  <c r="E16" i="1"/>
  <c r="F16" i="1" s="1"/>
  <c r="L16" i="1" s="1"/>
  <c r="E17" i="1"/>
  <c r="F17" i="1" s="1"/>
  <c r="L17" i="1" s="1"/>
  <c r="E11" i="1"/>
  <c r="F11" i="1" s="1"/>
  <c r="L11" i="1" s="1"/>
  <c r="E10" i="1"/>
  <c r="F10" i="1" s="1"/>
  <c r="L10" i="1" s="1"/>
  <c r="E12" i="1"/>
  <c r="F12" i="1" s="1"/>
  <c r="L12" i="1" s="1"/>
  <c r="E6" i="1"/>
  <c r="F6" i="1" s="1"/>
  <c r="L6" i="1" s="1"/>
  <c r="I18" i="1"/>
  <c r="J18" i="1" s="1"/>
  <c r="I5" i="1"/>
  <c r="I9" i="1"/>
  <c r="I8" i="1"/>
  <c r="J8" i="1" s="1"/>
  <c r="I15" i="1"/>
  <c r="I19" i="1"/>
  <c r="J19" i="1" s="1"/>
  <c r="I17" i="1"/>
  <c r="J17" i="1" s="1"/>
  <c r="I16" i="1"/>
  <c r="I14" i="1"/>
  <c r="J14" i="1" s="1"/>
  <c r="I13" i="1"/>
  <c r="J13" i="1" s="1"/>
  <c r="I12" i="1"/>
  <c r="J12" i="1" s="1"/>
  <c r="I11" i="1"/>
  <c r="J11" i="1" s="1"/>
  <c r="I10" i="1"/>
  <c r="J10" i="1" s="1"/>
  <c r="I7" i="1"/>
  <c r="J7" i="1" s="1"/>
  <c r="I6" i="1"/>
  <c r="J6" i="1" s="1"/>
  <c r="D20" i="1"/>
  <c r="C6" i="2" l="1"/>
  <c r="K6" i="1"/>
  <c r="P6" i="1" s="1"/>
  <c r="K12" i="1"/>
  <c r="Q12" i="1" s="1"/>
  <c r="K17" i="1"/>
  <c r="T17" i="1" s="1"/>
  <c r="K10" i="1"/>
  <c r="N10" i="1" s="1"/>
  <c r="K14" i="1"/>
  <c r="N14" i="1" s="1"/>
  <c r="K18" i="1"/>
  <c r="S18" i="1" s="1"/>
  <c r="K11" i="1"/>
  <c r="T11" i="1" s="1"/>
  <c r="K8" i="1"/>
  <c r="U8" i="1" s="1"/>
  <c r="T6" i="1"/>
  <c r="R6" i="1"/>
  <c r="N6" i="1"/>
  <c r="U6" i="1"/>
  <c r="S6" i="1"/>
  <c r="Q6" i="1"/>
  <c r="K19" i="1"/>
  <c r="Q19" i="1" s="1"/>
  <c r="J5" i="1"/>
  <c r="T14" i="1"/>
  <c r="R14" i="1"/>
  <c r="Q14" i="1"/>
  <c r="J15" i="1"/>
  <c r="U18" i="1"/>
  <c r="O11" i="1"/>
  <c r="J16" i="1"/>
  <c r="K7" i="1"/>
  <c r="E34" i="1"/>
  <c r="M8" i="1"/>
  <c r="M6" i="1"/>
  <c r="J9" i="1"/>
  <c r="E21" i="1"/>
  <c r="F21" i="1"/>
  <c r="F20" i="1"/>
  <c r="E20" i="1"/>
  <c r="K13" i="1"/>
  <c r="N18" i="1" l="1"/>
  <c r="P18" i="1"/>
  <c r="P12" i="1"/>
  <c r="Q10" i="1"/>
  <c r="O18" i="1"/>
  <c r="S12" i="1"/>
  <c r="O17" i="1"/>
  <c r="M17" i="1"/>
  <c r="R18" i="1"/>
  <c r="Q18" i="1"/>
  <c r="U12" i="1"/>
  <c r="Q17" i="1"/>
  <c r="M12" i="1"/>
  <c r="M18" i="1"/>
  <c r="T18" i="1"/>
  <c r="S14" i="1"/>
  <c r="T12" i="1"/>
  <c r="O6" i="1"/>
  <c r="R10" i="1"/>
  <c r="N8" i="1"/>
  <c r="N11" i="1"/>
  <c r="P17" i="1"/>
  <c r="O8" i="1"/>
  <c r="N17" i="1"/>
  <c r="R8" i="1"/>
  <c r="Q8" i="1"/>
  <c r="S10" i="1"/>
  <c r="T10" i="1"/>
  <c r="T8" i="1"/>
  <c r="S8" i="1"/>
  <c r="Q11" i="1"/>
  <c r="P10" i="1"/>
  <c r="U10" i="1"/>
  <c r="S17" i="1"/>
  <c r="R17" i="1"/>
  <c r="M10" i="1"/>
  <c r="P8" i="1"/>
  <c r="P11" i="1"/>
  <c r="O10" i="1"/>
  <c r="U17" i="1"/>
  <c r="K9" i="1"/>
  <c r="S9" i="1" s="1"/>
  <c r="N19" i="1"/>
  <c r="K15" i="1"/>
  <c r="U15" i="1" s="1"/>
  <c r="M11" i="1"/>
  <c r="M14" i="1"/>
  <c r="S11" i="1"/>
  <c r="R11" i="1"/>
  <c r="P14" i="1"/>
  <c r="U14" i="1"/>
  <c r="N12" i="1"/>
  <c r="O12" i="1"/>
  <c r="D28" i="1"/>
  <c r="D30" i="1"/>
  <c r="D32" i="1"/>
  <c r="C28" i="1"/>
  <c r="D26" i="1"/>
  <c r="K16" i="1"/>
  <c r="N16" i="1" s="1"/>
  <c r="U11" i="1"/>
  <c r="O14" i="1"/>
  <c r="R12" i="1"/>
  <c r="K5" i="1"/>
  <c r="R19" i="1"/>
  <c r="P19" i="1"/>
  <c r="M19" i="1"/>
  <c r="U19" i="1"/>
  <c r="S19" i="1"/>
  <c r="T19" i="1"/>
  <c r="P13" i="1"/>
  <c r="U13" i="1"/>
  <c r="S13" i="1"/>
  <c r="Q13" i="1"/>
  <c r="O13" i="1"/>
  <c r="T13" i="1"/>
  <c r="R13" i="1"/>
  <c r="N13" i="1"/>
  <c r="O19" i="1"/>
  <c r="P15" i="1"/>
  <c r="U7" i="1"/>
  <c r="S7" i="1"/>
  <c r="Q7" i="1"/>
  <c r="P7" i="1"/>
  <c r="O7" i="1"/>
  <c r="T7" i="1"/>
  <c r="R7" i="1"/>
  <c r="N7" i="1"/>
  <c r="M7" i="1"/>
  <c r="M13" i="1"/>
  <c r="O9" i="1" l="1"/>
  <c r="Q31" i="1"/>
  <c r="N5" i="1"/>
  <c r="P9" i="1"/>
  <c r="T16" i="1"/>
  <c r="K20" i="1"/>
  <c r="Q25" i="1"/>
  <c r="Q15" i="1"/>
  <c r="M9" i="1"/>
  <c r="T9" i="1"/>
  <c r="U9" i="1"/>
  <c r="N9" i="1"/>
  <c r="Q9" i="1"/>
  <c r="R9" i="1"/>
  <c r="T5" i="1"/>
  <c r="Q33" i="1"/>
  <c r="M5" i="1"/>
  <c r="Q28" i="1"/>
  <c r="Q29" i="1"/>
  <c r="R5" i="1"/>
  <c r="R16" i="1"/>
  <c r="Q16" i="1"/>
  <c r="R15" i="1"/>
  <c r="T15" i="1"/>
  <c r="N15" i="1"/>
  <c r="Q26" i="1"/>
  <c r="O16" i="1"/>
  <c r="P16" i="1"/>
  <c r="U5" i="1"/>
  <c r="M16" i="1"/>
  <c r="Q27" i="1"/>
  <c r="Q32" i="1"/>
  <c r="S5" i="1"/>
  <c r="M15" i="1"/>
  <c r="Q5" i="1"/>
  <c r="Q20" i="1" s="1"/>
  <c r="S16" i="1"/>
  <c r="C29" i="1"/>
  <c r="D25" i="1"/>
  <c r="C30" i="1"/>
  <c r="C25" i="1"/>
  <c r="C31" i="1"/>
  <c r="C26" i="1"/>
  <c r="C33" i="1"/>
  <c r="D27" i="1"/>
  <c r="D31" i="1"/>
  <c r="D33" i="1"/>
  <c r="C27" i="1"/>
  <c r="C32" i="1"/>
  <c r="Q30" i="1"/>
  <c r="O5" i="1"/>
  <c r="U16" i="1"/>
  <c r="S15" i="1"/>
  <c r="O15" i="1"/>
  <c r="P5" i="1"/>
  <c r="D29" i="1"/>
  <c r="K21" i="1"/>
  <c r="O20" i="1" l="1"/>
  <c r="P31" i="1" s="1"/>
  <c r="R31" i="1" s="1"/>
  <c r="T20" i="1"/>
  <c r="P26" i="1" s="1"/>
  <c r="S20" i="1"/>
  <c r="P27" i="1" s="1"/>
  <c r="R27" i="1" s="1"/>
  <c r="S27" i="1" s="1"/>
  <c r="F27" i="1" s="1"/>
  <c r="U20" i="1"/>
  <c r="P25" i="1" s="1"/>
  <c r="R25" i="1" s="1"/>
  <c r="M20" i="1"/>
  <c r="N20" i="1"/>
  <c r="P20" i="1"/>
  <c r="P30" i="1" s="1"/>
  <c r="R30" i="1" s="1"/>
  <c r="R20" i="1"/>
  <c r="P28" i="1" s="1"/>
  <c r="R28" i="1" s="1"/>
  <c r="P33" i="1"/>
  <c r="R33" i="1" s="1"/>
  <c r="P29" i="1"/>
  <c r="R29" i="1" s="1"/>
  <c r="P32" i="1"/>
  <c r="R32" i="1" s="1"/>
  <c r="C34" i="1"/>
  <c r="D34" i="1"/>
  <c r="C4" i="2" s="1"/>
  <c r="T35" i="1"/>
  <c r="S28" i="1" l="1"/>
  <c r="F28" i="1" s="1"/>
  <c r="S32" i="1"/>
  <c r="F32" i="1" s="1"/>
  <c r="S30" i="1"/>
  <c r="F30" i="1" s="1"/>
  <c r="S31" i="1"/>
  <c r="F31" i="1" s="1"/>
  <c r="S29" i="1"/>
  <c r="F29" i="1" s="1"/>
  <c r="S33" i="1"/>
  <c r="D35" i="1"/>
  <c r="S26" i="1"/>
  <c r="F26" i="1" s="1"/>
  <c r="S25" i="1"/>
  <c r="F25" i="1" s="1"/>
  <c r="F33" i="1"/>
  <c r="S34" i="1" l="1"/>
  <c r="T27" i="1" s="1"/>
  <c r="G27" i="1" s="1"/>
  <c r="F34" i="1"/>
  <c r="U27" i="1" l="1"/>
  <c r="H27" i="1" s="1"/>
  <c r="I27" i="1" s="1"/>
  <c r="T30" i="1"/>
  <c r="G30" i="1" s="1"/>
  <c r="T31" i="1"/>
  <c r="G31" i="1" s="1"/>
  <c r="T32" i="1"/>
  <c r="G32" i="1" s="1"/>
  <c r="T29" i="1"/>
  <c r="G29" i="1" s="1"/>
  <c r="T26" i="1"/>
  <c r="G26" i="1" s="1"/>
  <c r="T33" i="1"/>
  <c r="G33" i="1" s="1"/>
  <c r="T28" i="1"/>
  <c r="G28" i="1" s="1"/>
  <c r="T25" i="1"/>
  <c r="G25" i="1" s="1"/>
  <c r="U33" i="1" l="1"/>
  <c r="H33" i="1" s="1"/>
  <c r="I33" i="1" s="1"/>
  <c r="U29" i="1"/>
  <c r="H29" i="1" s="1"/>
  <c r="I29" i="1" s="1"/>
  <c r="U32" i="1"/>
  <c r="H32" i="1" s="1"/>
  <c r="I32" i="1" s="1"/>
  <c r="U30" i="1"/>
  <c r="H30" i="1" s="1"/>
  <c r="I30" i="1" s="1"/>
  <c r="U31" i="1"/>
  <c r="H31" i="1" s="1"/>
  <c r="I31" i="1" s="1"/>
  <c r="U28" i="1"/>
  <c r="H28" i="1" s="1"/>
  <c r="I28" i="1" s="1"/>
  <c r="T34" i="1"/>
  <c r="U34" i="1" s="1"/>
  <c r="U26" i="1"/>
  <c r="H26" i="1" s="1"/>
  <c r="I26" i="1" s="1"/>
  <c r="U25" i="1"/>
  <c r="H25" i="1" s="1"/>
  <c r="G34" i="1"/>
  <c r="H34" i="1" l="1"/>
  <c r="I25" i="1"/>
  <c r="I34" i="1" s="1"/>
  <c r="F3" i="2" s="1"/>
  <c r="C3" i="2" l="1"/>
  <c r="C5" i="2"/>
  <c r="C7" i="2" s="1"/>
  <c r="C8" i="2" l="1"/>
  <c r="F4" i="2" s="1"/>
  <c r="H7" i="2" s="1"/>
  <c r="H8" i="2" s="1"/>
  <c r="G7" i="2" l="1"/>
  <c r="G8" i="2" s="1"/>
  <c r="F7" i="2"/>
  <c r="F8" i="2" s="1"/>
  <c r="F5" i="2"/>
</calcChain>
</file>

<file path=xl/sharedStrings.xml><?xml version="1.0" encoding="utf-8"?>
<sst xmlns="http://schemas.openxmlformats.org/spreadsheetml/2006/main" count="84" uniqueCount="59">
  <si>
    <t>Kalkulace soudních sporů</t>
  </si>
  <si>
    <t>Seznam soudních sporů</t>
  </si>
  <si>
    <t>Číslo škody</t>
  </si>
  <si>
    <t>Stav sporu</t>
  </si>
  <si>
    <t>Žalovaná částka</t>
  </si>
  <si>
    <t>Datum vzniku škody</t>
  </si>
  <si>
    <t>Hlášení škody</t>
  </si>
  <si>
    <t>Hlášení sporu</t>
  </si>
  <si>
    <t>Počet dní od nahlášení do sporu</t>
  </si>
  <si>
    <t>Celkem</t>
  </si>
  <si>
    <t>uzavřený</t>
  </si>
  <si>
    <t>otevřený</t>
  </si>
  <si>
    <t>Počet dní</t>
  </si>
  <si>
    <t>Počet let</t>
  </si>
  <si>
    <t>Celková výše sporu</t>
  </si>
  <si>
    <t>Odhadovaná výše sporu</t>
  </si>
  <si>
    <t>výsledek funkce</t>
  </si>
  <si>
    <t>rozdíl</t>
  </si>
  <si>
    <t>chybějící</t>
  </si>
  <si>
    <t>nahlášené</t>
  </si>
  <si>
    <t>Lawsuits CZ</t>
  </si>
  <si>
    <t>Nb of claims</t>
  </si>
  <si>
    <t>Rok</t>
  </si>
  <si>
    <t>Data bez sporů</t>
  </si>
  <si>
    <t>IBNR počtu škod</t>
  </si>
  <si>
    <t>Celkový počet škod</t>
  </si>
  <si>
    <t>IBNR sporů</t>
  </si>
  <si>
    <t>Chybějící spory</t>
  </si>
  <si>
    <t>Spory na IBNR počtu škod</t>
  </si>
  <si>
    <t>Celkově chybějcící spory</t>
  </si>
  <si>
    <t>Celkem chybějící spory</t>
  </si>
  <si>
    <t>Počet nahlášených sporů</t>
  </si>
  <si>
    <t>průměrný spor</t>
  </si>
  <si>
    <t>Celkový odhad rezervy na nenahlášené soudní spory</t>
  </si>
  <si>
    <t>lineární portfolio</t>
  </si>
  <si>
    <t>Průměrná výše sporu</t>
  </si>
  <si>
    <t>Lineární funkce celkem</t>
  </si>
  <si>
    <t>Rok vzniku škody</t>
  </si>
  <si>
    <t>EX*X</t>
  </si>
  <si>
    <t>Var</t>
  </si>
  <si>
    <t>Std</t>
  </si>
  <si>
    <t>Total reserve estimated (R)</t>
  </si>
  <si>
    <t>Mean square error (s.e. R)</t>
  </si>
  <si>
    <t>s.e. R in percentage</t>
  </si>
  <si>
    <t>N(R, (s.e. R)^2)</t>
  </si>
  <si>
    <t>Celkový počet sporů</t>
  </si>
  <si>
    <t>Datum</t>
  </si>
  <si>
    <t>Počet dní od 31.10.2017</t>
  </si>
  <si>
    <t>Počet dní od 1.1.2009</t>
  </si>
  <si>
    <t>Úroveň spolehlivosti</t>
  </si>
  <si>
    <t>Celková rezerva (R)</t>
  </si>
  <si>
    <t>Směrodatná odchylka (s.e. R)</t>
  </si>
  <si>
    <t>s.e. R v procentech</t>
  </si>
  <si>
    <t>Předpoklady - Normální aproximace</t>
  </si>
  <si>
    <t>Horní hranice odhadované rezervy</t>
  </si>
  <si>
    <t>GSM IBNR na Soudní spory</t>
  </si>
  <si>
    <t>Známé spory</t>
  </si>
  <si>
    <t>Neznámé spory</t>
  </si>
  <si>
    <t>Soudní spory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</si>
</sst>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Kč&quot;;[Red]\-#,##0\ &quot;Kč&quot;"/>
    <numFmt numFmtId="8" formatCode="#,##0.00\ &quot;Kč&quot;;[Red]\-#,##0.00\ &quot;Kč&quot;"/>
    <numFmt numFmtId="164" formatCode="0.000"/>
    <numFmt numFmtId="165" formatCode="#,##0\ [$€-1]"/>
    <numFmt numFmtId="166" formatCode="#,##0.0"/>
    <numFmt numFmtId="167" formatCode="_-* #,##0\ [$Kč-405]_-;\-* #,##0\ [$Kč-405]_-;_-* &quot;-&quot;??\ [$Kč-405]_-;_-@_-"/>
    <numFmt numFmtId="168" formatCode="0.0%"/>
    <numFmt numFmtId="169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4" fillId="0" borderId="0"/>
    <xf numFmtId="9" fontId="4" fillId="0" borderId="0" applyFont="0" applyFill="0" applyBorder="0" applyAlignment="0" applyProtection="0"/>
    <xf numFmtId="165" fontId="1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3" fontId="0" fillId="0" borderId="3" xfId="0" applyNumberFormat="1" applyBorder="1"/>
    <xf numFmtId="14" fontId="0" fillId="0" borderId="3" xfId="0" applyNumberFormat="1" applyBorder="1"/>
    <xf numFmtId="3" fontId="0" fillId="0" borderId="10" xfId="0" applyNumberFormat="1" applyBorder="1"/>
    <xf numFmtId="3" fontId="0" fillId="0" borderId="5" xfId="0" applyNumberFormat="1" applyBorder="1"/>
    <xf numFmtId="14" fontId="0" fillId="0" borderId="5" xfId="0" applyNumberFormat="1" applyBorder="1"/>
    <xf numFmtId="14" fontId="0" fillId="0" borderId="10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24" xfId="0" applyNumberFormat="1" applyBorder="1"/>
    <xf numFmtId="14" fontId="0" fillId="0" borderId="25" xfId="0" applyNumberFormat="1" applyBorder="1"/>
    <xf numFmtId="14" fontId="0" fillId="0" borderId="26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0" fontId="4" fillId="0" borderId="16" xfId="1" applyNumberFormat="1" applyFill="1" applyBorder="1"/>
    <xf numFmtId="0" fontId="4" fillId="0" borderId="17" xfId="1" applyNumberFormat="1" applyFill="1" applyBorder="1"/>
    <xf numFmtId="0" fontId="4" fillId="0" borderId="18" xfId="1" applyNumberFormat="1" applyFill="1" applyBorder="1"/>
    <xf numFmtId="0" fontId="0" fillId="0" borderId="27" xfId="0" applyBorder="1"/>
    <xf numFmtId="0" fontId="0" fillId="0" borderId="28" xfId="0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27" xfId="0" applyNumberFormat="1" applyBorder="1"/>
    <xf numFmtId="0" fontId="0" fillId="0" borderId="29" xfId="0" applyBorder="1"/>
    <xf numFmtId="0" fontId="0" fillId="0" borderId="30" xfId="0" applyBorder="1"/>
    <xf numFmtId="166" fontId="0" fillId="0" borderId="27" xfId="0" applyNumberFormat="1" applyBorder="1"/>
    <xf numFmtId="0" fontId="0" fillId="0" borderId="2" xfId="0" applyBorder="1"/>
    <xf numFmtId="0" fontId="0" fillId="0" borderId="31" xfId="0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2" xfId="0" applyNumberFormat="1" applyBorder="1"/>
    <xf numFmtId="0" fontId="0" fillId="0" borderId="32" xfId="0" applyBorder="1"/>
    <xf numFmtId="0" fontId="0" fillId="0" borderId="33" xfId="0" applyBorder="1"/>
    <xf numFmtId="4" fontId="0" fillId="0" borderId="2" xfId="0" applyNumberFormat="1" applyBorder="1"/>
    <xf numFmtId="0" fontId="3" fillId="0" borderId="0" xfId="0" applyFont="1"/>
    <xf numFmtId="165" fontId="4" fillId="0" borderId="0" xfId="1"/>
    <xf numFmtId="14" fontId="4" fillId="0" borderId="0" xfId="1" applyNumberFormat="1"/>
    <xf numFmtId="14" fontId="4" fillId="2" borderId="0" xfId="1" applyNumberFormat="1" applyFill="1"/>
    <xf numFmtId="164" fontId="4" fillId="0" borderId="0" xfId="1" applyNumberFormat="1"/>
    <xf numFmtId="3" fontId="4" fillId="0" borderId="0" xfId="1" applyNumberFormat="1"/>
    <xf numFmtId="166" fontId="4" fillId="0" borderId="0" xfId="1" applyNumberFormat="1"/>
    <xf numFmtId="1" fontId="4" fillId="0" borderId="0" xfId="1" applyNumberFormat="1"/>
    <xf numFmtId="165" fontId="5" fillId="0" borderId="0" xfId="1" applyFont="1"/>
    <xf numFmtId="8" fontId="4" fillId="0" borderId="0" xfId="1" applyNumberFormat="1" applyBorder="1"/>
    <xf numFmtId="3" fontId="4" fillId="0" borderId="0" xfId="1" applyNumberFormat="1" applyBorder="1"/>
    <xf numFmtId="10" fontId="0" fillId="0" borderId="0" xfId="2" applyNumberFormat="1" applyFont="1" applyBorder="1"/>
    <xf numFmtId="10" fontId="0" fillId="0" borderId="0" xfId="2" applyNumberFormat="1" applyFont="1"/>
    <xf numFmtId="165" fontId="7" fillId="0" borderId="0" xfId="1" applyFont="1" applyBorder="1"/>
    <xf numFmtId="165" fontId="7" fillId="0" borderId="36" xfId="1" applyFont="1" applyBorder="1"/>
    <xf numFmtId="3" fontId="7" fillId="0" borderId="21" xfId="1" applyNumberFormat="1" applyFont="1" applyBorder="1"/>
    <xf numFmtId="3" fontId="7" fillId="0" borderId="34" xfId="1" applyNumberFormat="1" applyFont="1" applyBorder="1"/>
    <xf numFmtId="3" fontId="7" fillId="0" borderId="37" xfId="1" applyNumberFormat="1" applyFont="1" applyBorder="1"/>
    <xf numFmtId="3" fontId="7" fillId="0" borderId="2" xfId="1" applyNumberFormat="1" applyFont="1" applyBorder="1"/>
    <xf numFmtId="3" fontId="7" fillId="0" borderId="7" xfId="1" applyNumberFormat="1" applyFont="1" applyBorder="1"/>
    <xf numFmtId="3" fontId="7" fillId="0" borderId="38" xfId="1" applyNumberFormat="1" applyFont="1" applyBorder="1"/>
    <xf numFmtId="0" fontId="0" fillId="0" borderId="0" xfId="0" applyAlignment="1">
      <alignment horizontal="right"/>
    </xf>
    <xf numFmtId="167" fontId="8" fillId="0" borderId="0" xfId="1" applyNumberFormat="1" applyFont="1" applyFill="1" applyBorder="1"/>
    <xf numFmtId="1" fontId="7" fillId="0" borderId="39" xfId="1" applyNumberFormat="1" applyFont="1" applyBorder="1"/>
    <xf numFmtId="1" fontId="4" fillId="0" borderId="0" xfId="1" applyNumberFormat="1" applyAlignment="1">
      <alignment horizontal="left"/>
    </xf>
    <xf numFmtId="165" fontId="8" fillId="0" borderId="0" xfId="1" applyFont="1" applyAlignment="1">
      <alignment horizontal="right"/>
    </xf>
    <xf numFmtId="2" fontId="4" fillId="0" borderId="4" xfId="1" applyNumberFormat="1" applyBorder="1"/>
    <xf numFmtId="2" fontId="4" fillId="0" borderId="7" xfId="1" applyNumberFormat="1" applyBorder="1"/>
    <xf numFmtId="2" fontId="4" fillId="0" borderId="8" xfId="1" applyNumberFormat="1" applyBorder="1"/>
    <xf numFmtId="2" fontId="4" fillId="0" borderId="9" xfId="1" applyNumberFormat="1" applyBorder="1"/>
    <xf numFmtId="3" fontId="4" fillId="0" borderId="3" xfId="1" applyNumberFormat="1" applyBorder="1"/>
    <xf numFmtId="2" fontId="4" fillId="0" borderId="3" xfId="1" applyNumberFormat="1" applyBorder="1"/>
    <xf numFmtId="3" fontId="7" fillId="0" borderId="3" xfId="1" applyNumberFormat="1" applyFont="1" applyBorder="1"/>
    <xf numFmtId="2" fontId="4" fillId="0" borderId="10" xfId="1" applyNumberFormat="1" applyBorder="1"/>
    <xf numFmtId="3" fontId="4" fillId="0" borderId="5" xfId="1" applyNumberFormat="1" applyBorder="1"/>
    <xf numFmtId="2" fontId="4" fillId="0" borderId="5" xfId="1" applyNumberFormat="1" applyBorder="1"/>
    <xf numFmtId="3" fontId="7" fillId="0" borderId="10" xfId="1" applyNumberFormat="1" applyFont="1" applyBorder="1"/>
    <xf numFmtId="1" fontId="6" fillId="0" borderId="43" xfId="1" applyNumberFormat="1" applyFont="1" applyBorder="1"/>
    <xf numFmtId="1" fontId="6" fillId="0" borderId="39" xfId="1" applyNumberFormat="1" applyFont="1" applyBorder="1"/>
    <xf numFmtId="1" fontId="6" fillId="0" borderId="44" xfId="1" applyNumberFormat="1" applyFont="1" applyBorder="1"/>
    <xf numFmtId="165" fontId="4" fillId="0" borderId="45" xfId="1" applyBorder="1"/>
    <xf numFmtId="6" fontId="4" fillId="0" borderId="4" xfId="1" applyNumberFormat="1" applyBorder="1"/>
    <xf numFmtId="2" fontId="4" fillId="0" borderId="6" xfId="1" applyNumberFormat="1" applyBorder="1"/>
    <xf numFmtId="6" fontId="4" fillId="0" borderId="7" xfId="1" applyNumberFormat="1" applyBorder="1"/>
    <xf numFmtId="6" fontId="7" fillId="0" borderId="7" xfId="1" applyNumberFormat="1" applyFont="1" applyBorder="1"/>
    <xf numFmtId="6" fontId="7" fillId="0" borderId="9" xfId="1" applyNumberFormat="1" applyFont="1" applyBorder="1"/>
    <xf numFmtId="2" fontId="4" fillId="0" borderId="11" xfId="1" applyNumberFormat="1" applyBorder="1"/>
    <xf numFmtId="3" fontId="4" fillId="0" borderId="24" xfId="1" applyNumberFormat="1" applyBorder="1"/>
    <xf numFmtId="3" fontId="4" fillId="0" borderId="25" xfId="1" applyNumberFormat="1" applyBorder="1"/>
    <xf numFmtId="3" fontId="7" fillId="0" borderId="25" xfId="1" applyNumberFormat="1" applyFont="1" applyBorder="1"/>
    <xf numFmtId="3" fontId="7" fillId="0" borderId="26" xfId="1" applyNumberFormat="1" applyFont="1" applyBorder="1"/>
    <xf numFmtId="0" fontId="5" fillId="0" borderId="0" xfId="0" applyFont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0" borderId="3" xfId="1" applyNumberFormat="1" applyBorder="1"/>
    <xf numFmtId="164" fontId="4" fillId="0" borderId="8" xfId="1" applyNumberFormat="1" applyBorder="1"/>
    <xf numFmtId="165" fontId="4" fillId="0" borderId="51" xfId="1" applyBorder="1"/>
    <xf numFmtId="164" fontId="4" fillId="0" borderId="10" xfId="1" applyNumberFormat="1" applyBorder="1"/>
    <xf numFmtId="165" fontId="4" fillId="0" borderId="12" xfId="1" applyBorder="1" applyAlignment="1">
      <alignment horizontal="center" vertical="center" wrapText="1"/>
    </xf>
    <xf numFmtId="165" fontId="4" fillId="0" borderId="13" xfId="1" applyBorder="1" applyAlignment="1">
      <alignment horizontal="center" vertical="center" wrapText="1"/>
    </xf>
    <xf numFmtId="165" fontId="4" fillId="0" borderId="14" xfId="1" applyBorder="1" applyAlignment="1">
      <alignment horizontal="center" vertical="center" wrapText="1"/>
    </xf>
    <xf numFmtId="164" fontId="4" fillId="0" borderId="40" xfId="1" applyNumberFormat="1" applyBorder="1"/>
    <xf numFmtId="164" fontId="0" fillId="0" borderId="41" xfId="0" applyNumberFormat="1" applyBorder="1"/>
    <xf numFmtId="164" fontId="4" fillId="0" borderId="5" xfId="1" applyNumberFormat="1" applyBorder="1"/>
    <xf numFmtId="164" fontId="4" fillId="0" borderId="6" xfId="1" applyNumberFormat="1" applyBorder="1"/>
    <xf numFmtId="3" fontId="4" fillId="0" borderId="10" xfId="1" applyNumberFormat="1" applyBorder="1"/>
    <xf numFmtId="164" fontId="4" fillId="0" borderId="11" xfId="1" applyNumberFormat="1" applyBorder="1"/>
    <xf numFmtId="165" fontId="4" fillId="0" borderId="42" xfId="1" applyBorder="1" applyAlignment="1">
      <alignment horizontal="center" vertical="center" wrapText="1"/>
    </xf>
    <xf numFmtId="14" fontId="4" fillId="0" borderId="43" xfId="1" applyNumberFormat="1" applyBorder="1"/>
    <xf numFmtId="14" fontId="4" fillId="0" borderId="39" xfId="1" applyNumberFormat="1" applyBorder="1"/>
    <xf numFmtId="14" fontId="4" fillId="0" borderId="44" xfId="1" applyNumberFormat="1" applyBorder="1"/>
    <xf numFmtId="3" fontId="4" fillId="0" borderId="4" xfId="1" applyNumberFormat="1" applyBorder="1"/>
    <xf numFmtId="3" fontId="4" fillId="0" borderId="7" xfId="1" applyNumberFormat="1" applyBorder="1"/>
    <xf numFmtId="3" fontId="4" fillId="0" borderId="9" xfId="1" applyNumberFormat="1" applyBorder="1"/>
    <xf numFmtId="165" fontId="4" fillId="0" borderId="19" xfId="1" applyBorder="1" applyAlignment="1">
      <alignment horizontal="center" vertical="center" wrapText="1"/>
    </xf>
    <xf numFmtId="164" fontId="4" fillId="0" borderId="20" xfId="1" applyNumberFormat="1" applyBorder="1"/>
    <xf numFmtId="164" fontId="4" fillId="0" borderId="21" xfId="1" applyNumberFormat="1" applyBorder="1"/>
    <xf numFmtId="164" fontId="4" fillId="0" borderId="22" xfId="1" applyNumberFormat="1" applyBorder="1"/>
    <xf numFmtId="164" fontId="0" fillId="0" borderId="52" xfId="0" applyNumberFormat="1" applyBorder="1"/>
    <xf numFmtId="169" fontId="4" fillId="0" borderId="1" xfId="1" applyNumberFormat="1" applyBorder="1"/>
    <xf numFmtId="169" fontId="4" fillId="0" borderId="47" xfId="1" applyNumberFormat="1" applyBorder="1"/>
    <xf numFmtId="169" fontId="4" fillId="0" borderId="48" xfId="1" applyNumberFormat="1" applyBorder="1"/>
    <xf numFmtId="165" fontId="7" fillId="0" borderId="36" xfId="1" applyFont="1" applyBorder="1" applyAlignment="1">
      <alignment horizontal="center" vertical="center"/>
    </xf>
    <xf numFmtId="165" fontId="7" fillId="0" borderId="34" xfId="1" applyFont="1" applyBorder="1" applyAlignment="1">
      <alignment horizontal="center" vertical="center"/>
    </xf>
    <xf numFmtId="165" fontId="7" fillId="0" borderId="37" xfId="1" applyFont="1" applyBorder="1" applyAlignment="1">
      <alignment horizontal="center" vertical="center"/>
    </xf>
    <xf numFmtId="165" fontId="7" fillId="0" borderId="2" xfId="1" applyFont="1" applyBorder="1" applyAlignment="1">
      <alignment horizontal="center" vertical="center" wrapText="1"/>
    </xf>
    <xf numFmtId="3" fontId="4" fillId="0" borderId="6" xfId="1" applyNumberFormat="1" applyBorder="1"/>
    <xf numFmtId="3" fontId="4" fillId="0" borderId="8" xfId="1" applyNumberFormat="1" applyBorder="1"/>
    <xf numFmtId="3" fontId="4" fillId="0" borderId="11" xfId="1" applyNumberFormat="1" applyBorder="1"/>
    <xf numFmtId="4" fontId="2" fillId="0" borderId="3" xfId="1" applyNumberFormat="1" applyFont="1" applyBorder="1"/>
    <xf numFmtId="4" fontId="2" fillId="0" borderId="7" xfId="1" applyNumberFormat="1" applyFont="1" applyBorder="1"/>
    <xf numFmtId="4" fontId="2" fillId="0" borderId="8" xfId="1" applyNumberFormat="1" applyFont="1" applyBorder="1"/>
    <xf numFmtId="4" fontId="3" fillId="0" borderId="34" xfId="1" applyNumberFormat="1" applyFont="1" applyBorder="1"/>
    <xf numFmtId="166" fontId="3" fillId="0" borderId="32" xfId="1" applyNumberFormat="1" applyFont="1" applyBorder="1"/>
    <xf numFmtId="166" fontId="3" fillId="0" borderId="55" xfId="1" applyNumberFormat="1" applyFont="1" applyBorder="1"/>
    <xf numFmtId="4" fontId="2" fillId="0" borderId="4" xfId="1" applyNumberFormat="1" applyFont="1" applyBorder="1"/>
    <xf numFmtId="4" fontId="2" fillId="0" borderId="5" xfId="1" applyNumberFormat="1" applyFont="1" applyBorder="1"/>
    <xf numFmtId="4" fontId="2" fillId="0" borderId="6" xfId="1" applyNumberFormat="1" applyFont="1" applyBorder="1"/>
    <xf numFmtId="4" fontId="2" fillId="0" borderId="9" xfId="1" applyNumberFormat="1" applyFont="1" applyBorder="1"/>
    <xf numFmtId="4" fontId="2" fillId="0" borderId="10" xfId="1" applyNumberFormat="1" applyFont="1" applyBorder="1"/>
    <xf numFmtId="4" fontId="2" fillId="0" borderId="11" xfId="1" applyNumberFormat="1" applyFont="1" applyBorder="1"/>
    <xf numFmtId="6" fontId="4" fillId="0" borderId="12" xfId="1" applyNumberFormat="1" applyFill="1" applyBorder="1" applyAlignment="1">
      <alignment horizontal="center" vertical="center" wrapText="1"/>
    </xf>
    <xf numFmtId="1" fontId="4" fillId="0" borderId="13" xfId="1" applyNumberFormat="1" applyBorder="1" applyAlignment="1">
      <alignment horizontal="center" vertical="center"/>
    </xf>
    <xf numFmtId="1" fontId="4" fillId="0" borderId="14" xfId="1" applyNumberFormat="1" applyBorder="1" applyAlignment="1">
      <alignment horizontal="center" vertical="center"/>
    </xf>
    <xf numFmtId="165" fontId="4" fillId="0" borderId="0" xfId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3" xfId="0" applyBorder="1" applyAlignment="1">
      <alignment horizontal="left"/>
    </xf>
    <xf numFmtId="166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3" fillId="0" borderId="2" xfId="0" applyFont="1" applyBorder="1" applyAlignment="1"/>
    <xf numFmtId="3" fontId="11" fillId="2" borderId="34" xfId="3" applyNumberFormat="1" applyFont="1" applyFill="1" applyBorder="1" applyAlignment="1">
      <alignment horizontal="center"/>
    </xf>
    <xf numFmtId="3" fontId="11" fillId="2" borderId="55" xfId="3" applyNumberFormat="1" applyFont="1" applyFill="1" applyBorder="1" applyAlignment="1">
      <alignment horizontal="center"/>
    </xf>
    <xf numFmtId="165" fontId="3" fillId="0" borderId="2" xfId="3" applyFont="1" applyBorder="1" applyAlignment="1"/>
    <xf numFmtId="0" fontId="3" fillId="0" borderId="27" xfId="0" applyFont="1" applyBorder="1" applyAlignment="1"/>
    <xf numFmtId="3" fontId="0" fillId="0" borderId="28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0" fontId="5" fillId="0" borderId="0" xfId="0" applyFont="1" applyBorder="1"/>
    <xf numFmtId="16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5" fillId="0" borderId="57" xfId="0" applyFont="1" applyBorder="1"/>
    <xf numFmtId="0" fontId="3" fillId="0" borderId="36" xfId="0" applyFont="1" applyBorder="1" applyAlignment="1"/>
    <xf numFmtId="0" fontId="3" fillId="0" borderId="43" xfId="0" applyFont="1" applyBorder="1" applyAlignment="1"/>
    <xf numFmtId="0" fontId="3" fillId="0" borderId="39" xfId="0" applyFont="1" applyBorder="1" applyAlignment="1"/>
    <xf numFmtId="0" fontId="3" fillId="0" borderId="58" xfId="0" applyFont="1" applyBorder="1" applyAlignment="1"/>
    <xf numFmtId="168" fontId="3" fillId="3" borderId="59" xfId="2" applyNumberFormat="1" applyFont="1" applyFill="1" applyBorder="1" applyAlignment="1">
      <alignment horizontal="center"/>
    </xf>
    <xf numFmtId="168" fontId="3" fillId="3" borderId="41" xfId="2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65" fontId="8" fillId="0" borderId="42" xfId="1" applyFont="1" applyBorder="1" applyAlignment="1">
      <alignment horizontal="center" vertical="center" wrapText="1"/>
    </xf>
    <xf numFmtId="165" fontId="8" fillId="0" borderId="12" xfId="1" applyFont="1" applyBorder="1" applyAlignment="1">
      <alignment horizontal="center" vertical="center" wrapText="1"/>
    </xf>
    <xf numFmtId="165" fontId="8" fillId="0" borderId="13" xfId="1" applyFont="1" applyBorder="1" applyAlignment="1">
      <alignment horizontal="center" vertical="center" wrapText="1"/>
    </xf>
    <xf numFmtId="165" fontId="8" fillId="0" borderId="23" xfId="1" applyFont="1" applyBorder="1" applyAlignment="1">
      <alignment horizontal="center" vertical="center" wrapText="1"/>
    </xf>
    <xf numFmtId="165" fontId="8" fillId="0" borderId="12" xfId="1" applyFont="1" applyFill="1" applyBorder="1" applyAlignment="1">
      <alignment horizontal="center" vertical="center" wrapText="1"/>
    </xf>
    <xf numFmtId="165" fontId="8" fillId="0" borderId="13" xfId="1" applyFont="1" applyFill="1" applyBorder="1" applyAlignment="1">
      <alignment horizontal="center" vertical="center" wrapText="1"/>
    </xf>
    <xf numFmtId="165" fontId="8" fillId="0" borderId="14" xfId="1" applyFont="1" applyBorder="1" applyAlignment="1">
      <alignment horizontal="center" vertical="center" wrapText="1"/>
    </xf>
    <xf numFmtId="165" fontId="8" fillId="0" borderId="46" xfId="1" applyFont="1" applyBorder="1" applyAlignment="1">
      <alignment horizontal="center" vertical="center" wrapText="1"/>
    </xf>
    <xf numFmtId="165" fontId="8" fillId="0" borderId="45" xfId="1" applyFont="1" applyBorder="1" applyAlignment="1">
      <alignment horizontal="center"/>
    </xf>
    <xf numFmtId="6" fontId="8" fillId="0" borderId="35" xfId="1" applyNumberFormat="1" applyFont="1" applyBorder="1"/>
    <xf numFmtId="3" fontId="8" fillId="0" borderId="40" xfId="1" applyNumberFormat="1" applyFont="1" applyBorder="1"/>
    <xf numFmtId="3" fontId="8" fillId="0" borderId="50" xfId="1" applyNumberFormat="1" applyFont="1" applyBorder="1"/>
    <xf numFmtId="2" fontId="8" fillId="0" borderId="35" xfId="1" applyNumberFormat="1" applyFont="1" applyBorder="1"/>
    <xf numFmtId="2" fontId="8" fillId="0" borderId="40" xfId="1" applyNumberFormat="1" applyFont="1" applyBorder="1"/>
    <xf numFmtId="2" fontId="8" fillId="0" borderId="41" xfId="1" applyNumberFormat="1" applyFont="1" applyBorder="1"/>
    <xf numFmtId="169" fontId="8" fillId="2" borderId="49" xfId="1" applyNumberFormat="1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8" fontId="0" fillId="0" borderId="9" xfId="4" applyNumberFormat="1" applyFont="1" applyBorder="1" applyAlignment="1">
      <alignment horizontal="center"/>
    </xf>
    <xf numFmtId="168" fontId="0" fillId="0" borderId="10" xfId="4" applyNumberFormat="1" applyFont="1" applyBorder="1" applyAlignment="1">
      <alignment horizontal="center"/>
    </xf>
    <xf numFmtId="168" fontId="0" fillId="0" borderId="11" xfId="4" applyNumberFormat="1" applyFont="1" applyBorder="1" applyAlignment="1">
      <alignment horizontal="center"/>
    </xf>
  </cellXfs>
  <cellStyles count="5">
    <cellStyle name="Normální" xfId="0" builtinId="0"/>
    <cellStyle name="Normální 10" xfId="1"/>
    <cellStyle name="Normální 2 2" xfId="3"/>
    <cellStyle name="Procenta" xfId="4" builtinId="5"/>
    <cellStyle name="Procent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showGridLines="0" tabSelected="1" zoomScale="115" zoomScaleNormal="115" workbookViewId="0">
      <selection activeCell="J34" sqref="J34"/>
    </sheetView>
  </sheetViews>
  <sheetFormatPr defaultRowHeight="15" x14ac:dyDescent="0.25"/>
  <cols>
    <col min="1" max="1" width="3.28515625" customWidth="1"/>
    <col min="2" max="2" width="13.85546875" customWidth="1"/>
    <col min="3" max="4" width="12.85546875" customWidth="1"/>
    <col min="5" max="7" width="11.85546875" customWidth="1"/>
    <col min="8" max="8" width="12.7109375" customWidth="1"/>
    <col min="9" max="9" width="22" customWidth="1"/>
    <col min="10" max="10" width="13.140625" customWidth="1"/>
    <col min="11" max="11" width="19.28515625" customWidth="1"/>
    <col min="12" max="12" width="17.5703125" customWidth="1"/>
    <col min="13" max="13" width="14.7109375" customWidth="1"/>
    <col min="14" max="21" width="12.42578125" customWidth="1"/>
    <col min="22" max="22" width="8.42578125" customWidth="1"/>
    <col min="23" max="23" width="10.42578125" bestFit="1" customWidth="1"/>
    <col min="24" max="25" width="9.42578125" bestFit="1" customWidth="1"/>
  </cols>
  <sheetData>
    <row r="1" spans="2:24" x14ac:dyDescent="0.25">
      <c r="L1" s="43"/>
      <c r="M1" s="44">
        <v>39814</v>
      </c>
      <c r="N1" s="45">
        <v>43039</v>
      </c>
      <c r="O1" s="47">
        <f>N1-M1</f>
        <v>3225</v>
      </c>
      <c r="P1" s="44"/>
      <c r="S1" s="43"/>
      <c r="V1" s="43"/>
      <c r="W1" s="44"/>
      <c r="X1" s="47"/>
    </row>
    <row r="2" spans="2:24" x14ac:dyDescent="0.25">
      <c r="B2" t="s">
        <v>0</v>
      </c>
      <c r="M2" s="44"/>
      <c r="N2" s="47"/>
    </row>
    <row r="3" spans="2:24" ht="15.75" thickBot="1" x14ac:dyDescent="0.3">
      <c r="B3" s="42" t="s">
        <v>1</v>
      </c>
      <c r="L3" s="43"/>
      <c r="M3" s="49"/>
    </row>
    <row r="4" spans="2:24" ht="32.25" customHeight="1" thickBot="1" x14ac:dyDescent="0.3">
      <c r="B4" s="95" t="s">
        <v>2</v>
      </c>
      <c r="C4" s="96" t="s">
        <v>3</v>
      </c>
      <c r="D4" s="97" t="s">
        <v>4</v>
      </c>
      <c r="E4" s="98" t="s">
        <v>15</v>
      </c>
      <c r="F4" s="95" t="s">
        <v>14</v>
      </c>
      <c r="G4" s="96" t="s">
        <v>37</v>
      </c>
      <c r="H4" s="97" t="s">
        <v>5</v>
      </c>
      <c r="I4" s="97" t="s">
        <v>6</v>
      </c>
      <c r="J4" s="98" t="s">
        <v>7</v>
      </c>
      <c r="K4" s="95" t="s">
        <v>8</v>
      </c>
      <c r="L4" s="150" t="s">
        <v>38</v>
      </c>
      <c r="M4" s="147" t="s">
        <v>36</v>
      </c>
      <c r="N4" s="148">
        <v>2016</v>
      </c>
      <c r="O4" s="148">
        <v>2015</v>
      </c>
      <c r="P4" s="148">
        <v>2014</v>
      </c>
      <c r="Q4" s="148">
        <v>2013</v>
      </c>
      <c r="R4" s="148">
        <v>2012</v>
      </c>
      <c r="S4" s="148">
        <v>2011</v>
      </c>
      <c r="T4" s="148">
        <v>2010</v>
      </c>
      <c r="U4" s="149">
        <v>2009</v>
      </c>
    </row>
    <row r="5" spans="2:24" x14ac:dyDescent="0.25">
      <c r="B5" s="11">
        <v>1</v>
      </c>
      <c r="C5" s="8" t="s">
        <v>10</v>
      </c>
      <c r="D5" s="5">
        <v>8000000</v>
      </c>
      <c r="E5" s="20">
        <f>D5*0.5</f>
        <v>4000000</v>
      </c>
      <c r="F5" s="17">
        <f>E5*0.95</f>
        <v>3800000</v>
      </c>
      <c r="G5" s="23">
        <f t="shared" ref="G5:G19" si="0">YEAR(H5)</f>
        <v>2009</v>
      </c>
      <c r="H5" s="6">
        <v>39965</v>
      </c>
      <c r="I5" s="6">
        <f>H5+200</f>
        <v>40165</v>
      </c>
      <c r="J5" s="14">
        <f>I5+1100</f>
        <v>41265</v>
      </c>
      <c r="K5" s="17">
        <f t="shared" ref="K5:K19" si="1">J5-I5</f>
        <v>1100</v>
      </c>
      <c r="L5" s="47">
        <f>F5*F5</f>
        <v>14440000000000</v>
      </c>
      <c r="M5" s="141">
        <f>$O$1/($O$1-K5)</f>
        <v>1.5176470588235293</v>
      </c>
      <c r="N5" s="142">
        <f>IF(K5&gt;=$N$32,$O$32/($O$1-K5),0)</f>
        <v>1.3745882352941177</v>
      </c>
      <c r="O5" s="142">
        <f>IF(K5&gt;=$N$31,$O$31/($O$1-K5),0)</f>
        <v>1.2023529411764706</v>
      </c>
      <c r="P5" s="142">
        <f t="shared" ref="P5:P19" si="2">IF($K5&gt;=$N$30,$O$30/($O$1-$K5),0)</f>
        <v>1.0305882352941176</v>
      </c>
      <c r="Q5" s="142">
        <f t="shared" ref="Q5:Q19" si="3">IF($K5&gt;=$N$29,$O$29/($O$1-$K5),0)</f>
        <v>0</v>
      </c>
      <c r="R5" s="142">
        <f t="shared" ref="R5:R19" si="4">IF($K5&gt;=$N$28,$O$28/($O$1-$K5),0)</f>
        <v>0</v>
      </c>
      <c r="S5" s="142">
        <f t="shared" ref="S5:S19" si="5">IF($K5&gt;=$N$27,$O$27/($O$1-$K5),0)</f>
        <v>0</v>
      </c>
      <c r="T5" s="142">
        <f t="shared" ref="T5:T19" si="6">IF($K5&gt;=$N$26,$O$26/($O$1-$K5),0)</f>
        <v>0</v>
      </c>
      <c r="U5" s="143">
        <f t="shared" ref="U5:U19" si="7">IF($K5&gt;=$N$25,$O$25/($O$1-$K5),0)</f>
        <v>0</v>
      </c>
    </row>
    <row r="6" spans="2:24" x14ac:dyDescent="0.25">
      <c r="B6" s="12">
        <v>2</v>
      </c>
      <c r="C6" s="9" t="s">
        <v>10</v>
      </c>
      <c r="D6" s="2">
        <v>1500000</v>
      </c>
      <c r="E6" s="21">
        <f>D6*0.5</f>
        <v>750000</v>
      </c>
      <c r="F6" s="18">
        <f>E6*1.03</f>
        <v>772500</v>
      </c>
      <c r="G6" s="24">
        <f t="shared" si="0"/>
        <v>2009</v>
      </c>
      <c r="H6" s="3">
        <v>40148</v>
      </c>
      <c r="I6" s="3">
        <f>H6+15</f>
        <v>40163</v>
      </c>
      <c r="J6" s="15">
        <f>I6+900</f>
        <v>41063</v>
      </c>
      <c r="K6" s="18">
        <f t="shared" si="1"/>
        <v>900</v>
      </c>
      <c r="L6" s="47">
        <f t="shared" ref="L6:L19" si="8">F6*F6</f>
        <v>596756250000</v>
      </c>
      <c r="M6" s="136">
        <f>$O$1/($O$1-K6)</f>
        <v>1.3870967741935485</v>
      </c>
      <c r="N6" s="135">
        <f>IF(K6&gt;=$N$32,$O$32/($O$1-K6),0)</f>
        <v>1.2563440860215054</v>
      </c>
      <c r="O6" s="135">
        <f>IF(K6&gt;=$N$31,$O$31/($O$1-K6),0)</f>
        <v>1.0989247311827957</v>
      </c>
      <c r="P6" s="135">
        <f t="shared" si="2"/>
        <v>0</v>
      </c>
      <c r="Q6" s="135">
        <f t="shared" si="3"/>
        <v>0</v>
      </c>
      <c r="R6" s="135">
        <f t="shared" si="4"/>
        <v>0</v>
      </c>
      <c r="S6" s="135">
        <f t="shared" si="5"/>
        <v>0</v>
      </c>
      <c r="T6" s="135">
        <f t="shared" si="6"/>
        <v>0</v>
      </c>
      <c r="U6" s="137">
        <f t="shared" si="7"/>
        <v>0</v>
      </c>
    </row>
    <row r="7" spans="2:24" x14ac:dyDescent="0.25">
      <c r="B7" s="12">
        <v>3</v>
      </c>
      <c r="C7" s="9" t="s">
        <v>10</v>
      </c>
      <c r="D7" s="2">
        <v>2000000</v>
      </c>
      <c r="E7" s="21">
        <f>D7*0.75</f>
        <v>1500000</v>
      </c>
      <c r="F7" s="18">
        <f>E7*0.98</f>
        <v>1470000</v>
      </c>
      <c r="G7" s="24">
        <f t="shared" si="0"/>
        <v>2010</v>
      </c>
      <c r="H7" s="3">
        <v>40360</v>
      </c>
      <c r="I7" s="3">
        <f>H7+120</f>
        <v>40480</v>
      </c>
      <c r="J7" s="15">
        <f>I7+1800</f>
        <v>42280</v>
      </c>
      <c r="K7" s="18">
        <f t="shared" si="1"/>
        <v>1800</v>
      </c>
      <c r="L7" s="47">
        <f t="shared" si="8"/>
        <v>2160900000000</v>
      </c>
      <c r="M7" s="136">
        <f>$O$1/($O$1-K7)</f>
        <v>2.263157894736842</v>
      </c>
      <c r="N7" s="135">
        <f>IF(K7&gt;=$N$32,$O$32/($O$1-K7),0)</f>
        <v>2.0498245614035087</v>
      </c>
      <c r="O7" s="135">
        <f>IF(K7&gt;=$N$31,$O$31/($O$1-K7),0)</f>
        <v>1.7929824561403509</v>
      </c>
      <c r="P7" s="135">
        <f t="shared" si="2"/>
        <v>1.5368421052631578</v>
      </c>
      <c r="Q7" s="135">
        <f t="shared" si="3"/>
        <v>1.2807017543859649</v>
      </c>
      <c r="R7" s="135">
        <f t="shared" si="4"/>
        <v>1.024561403508772</v>
      </c>
      <c r="S7" s="135">
        <f t="shared" si="5"/>
        <v>0</v>
      </c>
      <c r="T7" s="135">
        <f t="shared" si="6"/>
        <v>0</v>
      </c>
      <c r="U7" s="137">
        <f t="shared" si="7"/>
        <v>0</v>
      </c>
    </row>
    <row r="8" spans="2:24" x14ac:dyDescent="0.25">
      <c r="B8" s="12">
        <v>4</v>
      </c>
      <c r="C8" s="9" t="s">
        <v>11</v>
      </c>
      <c r="D8" s="2">
        <v>800000</v>
      </c>
      <c r="E8" s="21">
        <f>D8*0.6</f>
        <v>480000</v>
      </c>
      <c r="F8" s="18">
        <f>E8*1.03</f>
        <v>494400</v>
      </c>
      <c r="G8" s="24">
        <f t="shared" si="0"/>
        <v>2011</v>
      </c>
      <c r="H8" s="3">
        <v>40544</v>
      </c>
      <c r="I8" s="3">
        <f>H8+100</f>
        <v>40644</v>
      </c>
      <c r="J8" s="15">
        <f>I8+660</f>
        <v>41304</v>
      </c>
      <c r="K8" s="18">
        <f t="shared" si="1"/>
        <v>660</v>
      </c>
      <c r="L8" s="47">
        <f t="shared" si="8"/>
        <v>244431360000</v>
      </c>
      <c r="M8" s="136">
        <f>$O$1/($O$1-K8)</f>
        <v>1.2573099415204678</v>
      </c>
      <c r="N8" s="135">
        <f>IF(K8&gt;=$N$32,$O$32/($O$1-K8),0)</f>
        <v>1.1387914230019494</v>
      </c>
      <c r="O8" s="135">
        <f>IF(K8&gt;=$N$31,$O$31/($O$1-K8),0)</f>
        <v>0</v>
      </c>
      <c r="P8" s="135">
        <f t="shared" si="2"/>
        <v>0</v>
      </c>
      <c r="Q8" s="135">
        <f t="shared" si="3"/>
        <v>0</v>
      </c>
      <c r="R8" s="135">
        <f t="shared" si="4"/>
        <v>0</v>
      </c>
      <c r="S8" s="135">
        <f t="shared" si="5"/>
        <v>0</v>
      </c>
      <c r="T8" s="135">
        <f t="shared" si="6"/>
        <v>0</v>
      </c>
      <c r="U8" s="137">
        <f t="shared" si="7"/>
        <v>0</v>
      </c>
    </row>
    <row r="9" spans="2:24" x14ac:dyDescent="0.25">
      <c r="B9" s="12">
        <v>5</v>
      </c>
      <c r="C9" s="9" t="s">
        <v>10</v>
      </c>
      <c r="D9" s="2">
        <v>12000000</v>
      </c>
      <c r="E9" s="21">
        <f>D9*0.4</f>
        <v>4800000</v>
      </c>
      <c r="F9" s="18">
        <f>E9*1.2</f>
        <v>5760000</v>
      </c>
      <c r="G9" s="24">
        <f t="shared" si="0"/>
        <v>2011</v>
      </c>
      <c r="H9" s="3">
        <v>40756</v>
      </c>
      <c r="I9" s="3">
        <f>H9+300</f>
        <v>41056</v>
      </c>
      <c r="J9" s="15">
        <f>I9+1150</f>
        <v>42206</v>
      </c>
      <c r="K9" s="18">
        <f t="shared" si="1"/>
        <v>1150</v>
      </c>
      <c r="L9" s="47">
        <f t="shared" si="8"/>
        <v>33177600000000</v>
      </c>
      <c r="M9" s="136">
        <f>$O$1/($O$1-K9)</f>
        <v>1.5542168674698795</v>
      </c>
      <c r="N9" s="135">
        <f>IF(K9&gt;=$N$32,$O$32/($O$1-K9),0)</f>
        <v>1.4077108433734939</v>
      </c>
      <c r="O9" s="135">
        <f>IF(K9&gt;=$N$31,$O$31/($O$1-K9),0)</f>
        <v>1.2313253012048193</v>
      </c>
      <c r="P9" s="135">
        <f t="shared" si="2"/>
        <v>1.0554216867469879</v>
      </c>
      <c r="Q9" s="135">
        <f t="shared" si="3"/>
        <v>0</v>
      </c>
      <c r="R9" s="135">
        <f t="shared" si="4"/>
        <v>0</v>
      </c>
      <c r="S9" s="135">
        <f t="shared" si="5"/>
        <v>0</v>
      </c>
      <c r="T9" s="135">
        <f t="shared" si="6"/>
        <v>0</v>
      </c>
      <c r="U9" s="137">
        <f t="shared" si="7"/>
        <v>0</v>
      </c>
    </row>
    <row r="10" spans="2:24" x14ac:dyDescent="0.25">
      <c r="B10" s="12">
        <v>6</v>
      </c>
      <c r="C10" s="9" t="s">
        <v>11</v>
      </c>
      <c r="D10" s="2">
        <v>600000</v>
      </c>
      <c r="E10" s="21">
        <f>D10*0.5</f>
        <v>300000</v>
      </c>
      <c r="F10" s="18">
        <f>E10</f>
        <v>300000</v>
      </c>
      <c r="G10" s="24">
        <f t="shared" si="0"/>
        <v>2012</v>
      </c>
      <c r="H10" s="3">
        <v>40940</v>
      </c>
      <c r="I10" s="3">
        <f>H10+300</f>
        <v>41240</v>
      </c>
      <c r="J10" s="15">
        <f>I10+675</f>
        <v>41915</v>
      </c>
      <c r="K10" s="18">
        <f t="shared" si="1"/>
        <v>675</v>
      </c>
      <c r="L10" s="47">
        <f t="shared" si="8"/>
        <v>90000000000</v>
      </c>
      <c r="M10" s="136">
        <f>$O$1/($O$1-K10)</f>
        <v>1.2647058823529411</v>
      </c>
      <c r="N10" s="135">
        <f>IF(K10&gt;=$N$32,$O$32/($O$1-K10),0)</f>
        <v>1.1454901960784314</v>
      </c>
      <c r="O10" s="135">
        <f>IF(K10&gt;=$N$31,$O$31/($O$1-K10),0)</f>
        <v>1.0019607843137255</v>
      </c>
      <c r="P10" s="135">
        <f t="shared" si="2"/>
        <v>0</v>
      </c>
      <c r="Q10" s="135">
        <f t="shared" si="3"/>
        <v>0</v>
      </c>
      <c r="R10" s="135">
        <f t="shared" si="4"/>
        <v>0</v>
      </c>
      <c r="S10" s="135">
        <f t="shared" si="5"/>
        <v>0</v>
      </c>
      <c r="T10" s="135">
        <f t="shared" si="6"/>
        <v>0</v>
      </c>
      <c r="U10" s="137">
        <f t="shared" si="7"/>
        <v>0</v>
      </c>
    </row>
    <row r="11" spans="2:24" x14ac:dyDescent="0.25">
      <c r="B11" s="12">
        <v>7</v>
      </c>
      <c r="C11" s="9" t="s">
        <v>11</v>
      </c>
      <c r="D11" s="2">
        <v>100000</v>
      </c>
      <c r="E11" s="21">
        <f>D11*0.75</f>
        <v>75000</v>
      </c>
      <c r="F11" s="18">
        <f>E11</f>
        <v>75000</v>
      </c>
      <c r="G11" s="24">
        <f t="shared" si="0"/>
        <v>2012</v>
      </c>
      <c r="H11" s="3">
        <v>41153</v>
      </c>
      <c r="I11" s="3">
        <f>H11+400</f>
        <v>41553</v>
      </c>
      <c r="J11" s="15">
        <f>I11+381</f>
        <v>41934</v>
      </c>
      <c r="K11" s="18">
        <f t="shared" si="1"/>
        <v>381</v>
      </c>
      <c r="L11" s="47">
        <f t="shared" si="8"/>
        <v>5625000000</v>
      </c>
      <c r="M11" s="136">
        <f>$O$1/($O$1-K11)</f>
        <v>1.1339662447257384</v>
      </c>
      <c r="N11" s="135">
        <f>IF(K11&gt;=$N$32,$O$32/($O$1-K11),0)</f>
        <v>1.0270745428973278</v>
      </c>
      <c r="O11" s="135">
        <f>IF(K11&gt;=$N$31,$O$31/($O$1-K11),0)</f>
        <v>0</v>
      </c>
      <c r="P11" s="135">
        <f t="shared" si="2"/>
        <v>0</v>
      </c>
      <c r="Q11" s="135">
        <f t="shared" si="3"/>
        <v>0</v>
      </c>
      <c r="R11" s="135">
        <f t="shared" si="4"/>
        <v>0</v>
      </c>
      <c r="S11" s="135">
        <f t="shared" si="5"/>
        <v>0</v>
      </c>
      <c r="T11" s="135">
        <f t="shared" si="6"/>
        <v>0</v>
      </c>
      <c r="U11" s="137">
        <f t="shared" si="7"/>
        <v>0</v>
      </c>
    </row>
    <row r="12" spans="2:24" x14ac:dyDescent="0.25">
      <c r="B12" s="12">
        <v>8</v>
      </c>
      <c r="C12" s="9" t="s">
        <v>10</v>
      </c>
      <c r="D12" s="2">
        <v>2000000</v>
      </c>
      <c r="E12" s="21">
        <f>D12*0.5</f>
        <v>1000000</v>
      </c>
      <c r="F12" s="18">
        <f>E12*0.98</f>
        <v>980000</v>
      </c>
      <c r="G12" s="24">
        <f t="shared" si="0"/>
        <v>2013</v>
      </c>
      <c r="H12" s="3">
        <v>41334</v>
      </c>
      <c r="I12" s="3">
        <f>H12+40</f>
        <v>41374</v>
      </c>
      <c r="J12" s="15">
        <f>I12+619</f>
        <v>41993</v>
      </c>
      <c r="K12" s="18">
        <f t="shared" si="1"/>
        <v>619</v>
      </c>
      <c r="L12" s="47">
        <f t="shared" si="8"/>
        <v>960400000000</v>
      </c>
      <c r="M12" s="136">
        <f>$O$1/($O$1-K12)</f>
        <v>1.2375287797390637</v>
      </c>
      <c r="N12" s="135">
        <f>IF(K12&gt;=$N$32,$O$32/($O$1-K12),0)</f>
        <v>1.1208749040675365</v>
      </c>
      <c r="O12" s="135">
        <f>IF(K12&gt;=$N$31,$O$31/($O$1-K12),0)</f>
        <v>0</v>
      </c>
      <c r="P12" s="135">
        <f t="shared" si="2"/>
        <v>0</v>
      </c>
      <c r="Q12" s="135">
        <f t="shared" si="3"/>
        <v>0</v>
      </c>
      <c r="R12" s="135">
        <f t="shared" si="4"/>
        <v>0</v>
      </c>
      <c r="S12" s="135">
        <f t="shared" si="5"/>
        <v>0</v>
      </c>
      <c r="T12" s="135">
        <f t="shared" si="6"/>
        <v>0</v>
      </c>
      <c r="U12" s="137">
        <f t="shared" si="7"/>
        <v>0</v>
      </c>
    </row>
    <row r="13" spans="2:24" x14ac:dyDescent="0.25">
      <c r="B13" s="12">
        <v>9</v>
      </c>
      <c r="C13" s="9" t="s">
        <v>11</v>
      </c>
      <c r="D13" s="2">
        <v>700000</v>
      </c>
      <c r="E13" s="21">
        <f>D13*0.25</f>
        <v>175000</v>
      </c>
      <c r="F13" s="18">
        <f>E13</f>
        <v>175000</v>
      </c>
      <c r="G13" s="24">
        <f t="shared" si="0"/>
        <v>2013</v>
      </c>
      <c r="H13" s="3">
        <v>41548</v>
      </c>
      <c r="I13" s="3">
        <f>H13+20</f>
        <v>41568</v>
      </c>
      <c r="J13" s="15">
        <f>I13+160</f>
        <v>41728</v>
      </c>
      <c r="K13" s="18">
        <f t="shared" si="1"/>
        <v>160</v>
      </c>
      <c r="L13" s="47">
        <f t="shared" si="8"/>
        <v>30625000000</v>
      </c>
      <c r="M13" s="136">
        <f>$O$1/($O$1-K13)</f>
        <v>1.0522022838499185</v>
      </c>
      <c r="N13" s="135">
        <f>IF(K13&gt;=$N$32,$O$32/($O$1-K13),0)</f>
        <v>0</v>
      </c>
      <c r="O13" s="135">
        <f>IF(K13&gt;=$N$31,$O$31/($O$1-K13),0)</f>
        <v>0</v>
      </c>
      <c r="P13" s="135">
        <f t="shared" si="2"/>
        <v>0</v>
      </c>
      <c r="Q13" s="135">
        <f t="shared" si="3"/>
        <v>0</v>
      </c>
      <c r="R13" s="135">
        <f t="shared" si="4"/>
        <v>0</v>
      </c>
      <c r="S13" s="135">
        <f t="shared" si="5"/>
        <v>0</v>
      </c>
      <c r="T13" s="135">
        <f t="shared" si="6"/>
        <v>0</v>
      </c>
      <c r="U13" s="137">
        <f t="shared" si="7"/>
        <v>0</v>
      </c>
    </row>
    <row r="14" spans="2:24" x14ac:dyDescent="0.25">
      <c r="B14" s="12">
        <v>10</v>
      </c>
      <c r="C14" s="9" t="s">
        <v>10</v>
      </c>
      <c r="D14" s="2">
        <v>200000</v>
      </c>
      <c r="E14" s="21">
        <f>D14*0.4</f>
        <v>80000</v>
      </c>
      <c r="F14" s="18">
        <f>E14*1.1</f>
        <v>88000</v>
      </c>
      <c r="G14" s="24">
        <f t="shared" si="0"/>
        <v>2014</v>
      </c>
      <c r="H14" s="3">
        <v>41730</v>
      </c>
      <c r="I14" s="3">
        <f>H14+3</f>
        <v>41733</v>
      </c>
      <c r="J14" s="15">
        <f>I14+930</f>
        <v>42663</v>
      </c>
      <c r="K14" s="18">
        <f t="shared" si="1"/>
        <v>930</v>
      </c>
      <c r="L14" s="47">
        <f t="shared" si="8"/>
        <v>7744000000</v>
      </c>
      <c r="M14" s="136">
        <f>$O$1/($O$1-K14)</f>
        <v>1.4052287581699345</v>
      </c>
      <c r="N14" s="135">
        <f>IF(K14&gt;=$N$32,$O$32/($O$1-K14),0)</f>
        <v>1.2727668845315905</v>
      </c>
      <c r="O14" s="135">
        <f>IF(K14&gt;=$N$31,$O$31/($O$1-K14),0)</f>
        <v>1.1132897603485838</v>
      </c>
      <c r="P14" s="135">
        <f t="shared" si="2"/>
        <v>0</v>
      </c>
      <c r="Q14" s="135">
        <f t="shared" si="3"/>
        <v>0</v>
      </c>
      <c r="R14" s="135">
        <f t="shared" si="4"/>
        <v>0</v>
      </c>
      <c r="S14" s="135">
        <f t="shared" si="5"/>
        <v>0</v>
      </c>
      <c r="T14" s="135">
        <f t="shared" si="6"/>
        <v>0</v>
      </c>
      <c r="U14" s="137">
        <f t="shared" si="7"/>
        <v>0</v>
      </c>
    </row>
    <row r="15" spans="2:24" x14ac:dyDescent="0.25">
      <c r="B15" s="12">
        <v>11</v>
      </c>
      <c r="C15" s="9" t="s">
        <v>11</v>
      </c>
      <c r="D15" s="2">
        <v>140000</v>
      </c>
      <c r="E15" s="21">
        <f>D15*0.6</f>
        <v>84000</v>
      </c>
      <c r="F15" s="18">
        <f>E15</f>
        <v>84000</v>
      </c>
      <c r="G15" s="24">
        <f t="shared" si="0"/>
        <v>2014</v>
      </c>
      <c r="H15" s="3">
        <v>41944</v>
      </c>
      <c r="I15" s="3">
        <f>H15+50</f>
        <v>41994</v>
      </c>
      <c r="J15" s="15">
        <f>I15+500</f>
        <v>42494</v>
      </c>
      <c r="K15" s="18">
        <f t="shared" si="1"/>
        <v>500</v>
      </c>
      <c r="L15" s="47">
        <f t="shared" si="8"/>
        <v>7056000000</v>
      </c>
      <c r="M15" s="136">
        <f>$O$1/($O$1-K15)</f>
        <v>1.1834862385321101</v>
      </c>
      <c r="N15" s="135">
        <f>IF(K15&gt;=$N$32,$O$32/($O$1-K15),0)</f>
        <v>1.0719266055045871</v>
      </c>
      <c r="O15" s="135">
        <f>IF(K15&gt;=$N$31,$O$31/($O$1-K15),0)</f>
        <v>0</v>
      </c>
      <c r="P15" s="135">
        <f t="shared" si="2"/>
        <v>0</v>
      </c>
      <c r="Q15" s="135">
        <f t="shared" si="3"/>
        <v>0</v>
      </c>
      <c r="R15" s="135">
        <f t="shared" si="4"/>
        <v>0</v>
      </c>
      <c r="S15" s="135">
        <f t="shared" si="5"/>
        <v>0</v>
      </c>
      <c r="T15" s="135">
        <f t="shared" si="6"/>
        <v>0</v>
      </c>
      <c r="U15" s="137">
        <f t="shared" si="7"/>
        <v>0</v>
      </c>
    </row>
    <row r="16" spans="2:24" x14ac:dyDescent="0.25">
      <c r="B16" s="12">
        <v>12</v>
      </c>
      <c r="C16" s="9" t="s">
        <v>11</v>
      </c>
      <c r="D16" s="2">
        <v>1000000</v>
      </c>
      <c r="E16" s="21">
        <f>D16*0.25</f>
        <v>250000</v>
      </c>
      <c r="F16" s="18">
        <f>E16</f>
        <v>250000</v>
      </c>
      <c r="G16" s="24">
        <f t="shared" si="0"/>
        <v>2015</v>
      </c>
      <c r="H16" s="3">
        <v>42125</v>
      </c>
      <c r="I16" s="3">
        <f>H16+10</f>
        <v>42135</v>
      </c>
      <c r="J16" s="15">
        <f>I16+200</f>
        <v>42335</v>
      </c>
      <c r="K16" s="18">
        <f t="shared" si="1"/>
        <v>200</v>
      </c>
      <c r="L16" s="47">
        <f t="shared" si="8"/>
        <v>62500000000</v>
      </c>
      <c r="M16" s="136">
        <f>$O$1/($O$1-K16)</f>
        <v>1.0661157024793388</v>
      </c>
      <c r="N16" s="135">
        <f>IF(K16&gt;=$N$32,$O$32/($O$1-K16),0)</f>
        <v>0</v>
      </c>
      <c r="O16" s="135">
        <f>IF(K16&gt;=$N$31,$O$31/($O$1-K16),0)</f>
        <v>0</v>
      </c>
      <c r="P16" s="135">
        <f t="shared" si="2"/>
        <v>0</v>
      </c>
      <c r="Q16" s="135">
        <f t="shared" si="3"/>
        <v>0</v>
      </c>
      <c r="R16" s="135">
        <f t="shared" si="4"/>
        <v>0</v>
      </c>
      <c r="S16" s="135">
        <f t="shared" si="5"/>
        <v>0</v>
      </c>
      <c r="T16" s="135">
        <f t="shared" si="6"/>
        <v>0</v>
      </c>
      <c r="U16" s="137">
        <f t="shared" si="7"/>
        <v>0</v>
      </c>
    </row>
    <row r="17" spans="2:22" x14ac:dyDescent="0.25">
      <c r="B17" s="12">
        <v>13</v>
      </c>
      <c r="C17" s="9" t="s">
        <v>11</v>
      </c>
      <c r="D17" s="2">
        <v>500000</v>
      </c>
      <c r="E17" s="21">
        <f>D17*0.75</f>
        <v>375000</v>
      </c>
      <c r="F17" s="18">
        <f>E17</f>
        <v>375000</v>
      </c>
      <c r="G17" s="24">
        <f t="shared" si="0"/>
        <v>2015</v>
      </c>
      <c r="H17" s="3">
        <v>42339</v>
      </c>
      <c r="I17" s="3">
        <f>H17+5</f>
        <v>42344</v>
      </c>
      <c r="J17" s="15">
        <f>I17+660</f>
        <v>43004</v>
      </c>
      <c r="K17" s="18">
        <f t="shared" si="1"/>
        <v>660</v>
      </c>
      <c r="L17" s="47">
        <f t="shared" si="8"/>
        <v>140625000000</v>
      </c>
      <c r="M17" s="136">
        <f>$O$1/($O$1-K17)</f>
        <v>1.2573099415204678</v>
      </c>
      <c r="N17" s="135">
        <f>IF(K17&gt;=$N$32,$O$32/($O$1-K17),0)</f>
        <v>1.1387914230019494</v>
      </c>
      <c r="O17" s="135">
        <f>IF(K17&gt;=$N$31,$O$31/($O$1-K17),0)</f>
        <v>0</v>
      </c>
      <c r="P17" s="135">
        <f t="shared" si="2"/>
        <v>0</v>
      </c>
      <c r="Q17" s="135">
        <f t="shared" si="3"/>
        <v>0</v>
      </c>
      <c r="R17" s="135">
        <f t="shared" si="4"/>
        <v>0</v>
      </c>
      <c r="S17" s="135">
        <f t="shared" si="5"/>
        <v>0</v>
      </c>
      <c r="T17" s="135">
        <f t="shared" si="6"/>
        <v>0</v>
      </c>
      <c r="U17" s="137">
        <f t="shared" si="7"/>
        <v>0</v>
      </c>
    </row>
    <row r="18" spans="2:22" x14ac:dyDescent="0.25">
      <c r="B18" s="12">
        <v>14</v>
      </c>
      <c r="C18" s="9" t="s">
        <v>11</v>
      </c>
      <c r="D18" s="2">
        <v>3500000</v>
      </c>
      <c r="E18" s="21">
        <f>D18*0.6</f>
        <v>2100000</v>
      </c>
      <c r="F18" s="18">
        <f>E18</f>
        <v>2100000</v>
      </c>
      <c r="G18" s="24">
        <f t="shared" si="0"/>
        <v>2016</v>
      </c>
      <c r="H18" s="3">
        <v>42522</v>
      </c>
      <c r="I18" s="3">
        <f>H18+30</f>
        <v>42552</v>
      </c>
      <c r="J18" s="15">
        <f>I18+395</f>
        <v>42947</v>
      </c>
      <c r="K18" s="18">
        <f t="shared" si="1"/>
        <v>395</v>
      </c>
      <c r="L18" s="47">
        <f t="shared" si="8"/>
        <v>4410000000000</v>
      </c>
      <c r="M18" s="136">
        <f>$O$1/($O$1-K18)</f>
        <v>1.1395759717314489</v>
      </c>
      <c r="N18" s="135">
        <f>IF(K18&gt;=$N$32,$O$32/($O$1-K18),0)</f>
        <v>1.0321554770318022</v>
      </c>
      <c r="O18" s="135">
        <f>IF(K18&gt;=$N$31,$O$31/($O$1-K18),0)</f>
        <v>0</v>
      </c>
      <c r="P18" s="135">
        <f t="shared" si="2"/>
        <v>0</v>
      </c>
      <c r="Q18" s="135">
        <f t="shared" si="3"/>
        <v>0</v>
      </c>
      <c r="R18" s="135">
        <f t="shared" si="4"/>
        <v>0</v>
      </c>
      <c r="S18" s="135">
        <f t="shared" si="5"/>
        <v>0</v>
      </c>
      <c r="T18" s="135">
        <f t="shared" si="6"/>
        <v>0</v>
      </c>
      <c r="U18" s="137">
        <f t="shared" si="7"/>
        <v>0</v>
      </c>
    </row>
    <row r="19" spans="2:22" ht="15.75" thickBot="1" x14ac:dyDescent="0.3">
      <c r="B19" s="13">
        <v>15</v>
      </c>
      <c r="C19" s="10" t="s">
        <v>11</v>
      </c>
      <c r="D19" s="4">
        <v>900000</v>
      </c>
      <c r="E19" s="22">
        <f>D19*0.7</f>
        <v>630000</v>
      </c>
      <c r="F19" s="19">
        <f>E19</f>
        <v>630000</v>
      </c>
      <c r="G19" s="25">
        <f t="shared" si="0"/>
        <v>2016</v>
      </c>
      <c r="H19" s="7">
        <v>42614</v>
      </c>
      <c r="I19" s="7">
        <f>H19+10</f>
        <v>42624</v>
      </c>
      <c r="J19" s="16">
        <f>I19+370</f>
        <v>42994</v>
      </c>
      <c r="K19" s="19">
        <f t="shared" si="1"/>
        <v>370</v>
      </c>
      <c r="L19" s="47">
        <f t="shared" si="8"/>
        <v>396900000000</v>
      </c>
      <c r="M19" s="144">
        <f>$O$1/($O$1-K19)</f>
        <v>1.1295971978984238</v>
      </c>
      <c r="N19" s="145">
        <f>IF(K19&gt;=$N$32,$O$32/($O$1-K19),0)</f>
        <v>1.0231173380035026</v>
      </c>
      <c r="O19" s="145">
        <f>IF(K19&gt;=$N$31,$O$31/($O$1-K19),0)</f>
        <v>0</v>
      </c>
      <c r="P19" s="145">
        <f t="shared" si="2"/>
        <v>0</v>
      </c>
      <c r="Q19" s="145">
        <f t="shared" si="3"/>
        <v>0</v>
      </c>
      <c r="R19" s="145">
        <f t="shared" si="4"/>
        <v>0</v>
      </c>
      <c r="S19" s="145">
        <f t="shared" si="5"/>
        <v>0</v>
      </c>
      <c r="T19" s="145">
        <f t="shared" si="6"/>
        <v>0</v>
      </c>
      <c r="U19" s="146">
        <f t="shared" si="7"/>
        <v>0</v>
      </c>
    </row>
    <row r="20" spans="2:22" ht="15.75" thickBot="1" x14ac:dyDescent="0.3">
      <c r="B20" s="26" t="s">
        <v>9</v>
      </c>
      <c r="C20" s="27">
        <f>COUNT(D5:D19)</f>
        <v>15</v>
      </c>
      <c r="D20" s="28">
        <f>SUM(D5:D19)</f>
        <v>33940000</v>
      </c>
      <c r="E20" s="29">
        <f>SUM(E5:E19)</f>
        <v>16599000</v>
      </c>
      <c r="F20" s="30">
        <f>SUM(F5:F19)</f>
        <v>17353900</v>
      </c>
      <c r="G20" s="27"/>
      <c r="H20" s="31"/>
      <c r="I20" s="31"/>
      <c r="J20" s="32" t="s">
        <v>12</v>
      </c>
      <c r="K20" s="33">
        <f>AVERAGE(K5:K19)</f>
        <v>700</v>
      </c>
      <c r="L20" s="47"/>
      <c r="M20" s="138">
        <f>SUM(M5:M19)</f>
        <v>19.849145537743652</v>
      </c>
      <c r="N20" s="139">
        <f t="shared" ref="N20:U20" si="9">SUM(N5:N19)</f>
        <v>16.059456520211299</v>
      </c>
      <c r="O20" s="139">
        <f t="shared" si="9"/>
        <v>7.4408359743667463</v>
      </c>
      <c r="P20" s="139">
        <f t="shared" si="9"/>
        <v>3.6228520273042637</v>
      </c>
      <c r="Q20" s="139">
        <f t="shared" si="9"/>
        <v>1.2807017543859649</v>
      </c>
      <c r="R20" s="139">
        <f t="shared" si="9"/>
        <v>1.024561403508772</v>
      </c>
      <c r="S20" s="139">
        <f t="shared" si="9"/>
        <v>0</v>
      </c>
      <c r="T20" s="139">
        <f t="shared" si="9"/>
        <v>0</v>
      </c>
      <c r="U20" s="140">
        <f t="shared" si="9"/>
        <v>0</v>
      </c>
    </row>
    <row r="21" spans="2:22" ht="15.75" thickBot="1" x14ac:dyDescent="0.3">
      <c r="B21" s="34" t="s">
        <v>35</v>
      </c>
      <c r="C21" s="35"/>
      <c r="D21" s="36">
        <f>AVERAGE(D5:D19)</f>
        <v>2262666.6666666665</v>
      </c>
      <c r="E21" s="37">
        <f>AVERAGE(E5:E19)</f>
        <v>1106600</v>
      </c>
      <c r="F21" s="38">
        <f>AVERAGE(F5:F19)</f>
        <v>1156926.6666666667</v>
      </c>
      <c r="G21" s="35"/>
      <c r="H21" s="39"/>
      <c r="I21" s="39"/>
      <c r="J21" s="40" t="s">
        <v>13</v>
      </c>
      <c r="K21" s="41">
        <f>K20/365</f>
        <v>1.9178082191780821</v>
      </c>
      <c r="L21" s="48"/>
    </row>
    <row r="23" spans="2:22" ht="16.5" thickBot="1" x14ac:dyDescent="0.3">
      <c r="B23" s="50" t="s">
        <v>20</v>
      </c>
      <c r="C23" s="43" t="s">
        <v>34</v>
      </c>
      <c r="D23" s="43"/>
      <c r="E23" s="43"/>
      <c r="F23" s="43"/>
      <c r="G23" s="43"/>
      <c r="H23" s="43"/>
      <c r="I23" s="43"/>
      <c r="J23" s="43"/>
      <c r="K23" s="43"/>
    </row>
    <row r="24" spans="2:22" ht="40.5" customHeight="1" thickBot="1" x14ac:dyDescent="0.3">
      <c r="B24" s="180" t="s">
        <v>22</v>
      </c>
      <c r="C24" s="181" t="s">
        <v>14</v>
      </c>
      <c r="D24" s="182" t="s">
        <v>31</v>
      </c>
      <c r="E24" s="183" t="s">
        <v>25</v>
      </c>
      <c r="F24" s="184" t="s">
        <v>27</v>
      </c>
      <c r="G24" s="185" t="s">
        <v>28</v>
      </c>
      <c r="H24" s="186" t="s">
        <v>29</v>
      </c>
      <c r="I24" s="187" t="s">
        <v>33</v>
      </c>
      <c r="J24" s="43"/>
      <c r="L24" s="99" t="s">
        <v>22</v>
      </c>
      <c r="M24" s="113" t="s">
        <v>46</v>
      </c>
      <c r="N24" s="104" t="s">
        <v>47</v>
      </c>
      <c r="O24" s="105" t="s">
        <v>48</v>
      </c>
      <c r="P24" s="105" t="s">
        <v>16</v>
      </c>
      <c r="Q24" s="105" t="s">
        <v>19</v>
      </c>
      <c r="R24" s="105" t="s">
        <v>17</v>
      </c>
      <c r="S24" s="105" t="s">
        <v>18</v>
      </c>
      <c r="T24" s="106" t="s">
        <v>26</v>
      </c>
      <c r="U24" s="120" t="s">
        <v>30</v>
      </c>
      <c r="V24" s="1"/>
    </row>
    <row r="25" spans="2:22" x14ac:dyDescent="0.25">
      <c r="B25" s="79">
        <v>2009</v>
      </c>
      <c r="C25" s="83">
        <f t="shared" ref="C25:C33" si="10">SUMIF($G$5:$G$19,B25,$F$5:$F$19)</f>
        <v>4572500</v>
      </c>
      <c r="D25" s="76">
        <f t="shared" ref="D25:D33" si="11">COUNTIF($G$5:$G$19,B25)</f>
        <v>2</v>
      </c>
      <c r="E25" s="89">
        <f t="shared" ref="E25:E33" si="12">J40</f>
        <v>475</v>
      </c>
      <c r="F25" s="68">
        <f t="shared" ref="F25:F33" si="13">VLOOKUP(B25,$L$25:$T$33,8,FALSE)</f>
        <v>0</v>
      </c>
      <c r="G25" s="77">
        <f t="shared" ref="G25:G33" si="14">VLOOKUP(B25,$L$25:$T$33,9,FALSE)</f>
        <v>0</v>
      </c>
      <c r="H25" s="84">
        <f t="shared" ref="H25:H33" si="15">VLOOKUP(B25,$L$25:$U$33,10,FALSE)</f>
        <v>0</v>
      </c>
      <c r="I25" s="125">
        <f t="shared" ref="I25:I33" si="16">H25*$D$35</f>
        <v>0</v>
      </c>
      <c r="J25" s="43"/>
      <c r="L25">
        <f t="shared" ref="L25:L32" si="17">L26-1</f>
        <v>2009</v>
      </c>
      <c r="M25" s="114">
        <v>40178</v>
      </c>
      <c r="N25" s="117">
        <f t="shared" ref="N25:N31" si="18">$M$33-M25</f>
        <v>2861</v>
      </c>
      <c r="O25" s="76">
        <f t="shared" ref="O25:O33" si="19">M25-$M$1</f>
        <v>364</v>
      </c>
      <c r="P25" s="109">
        <f>U20</f>
        <v>0</v>
      </c>
      <c r="Q25" s="109">
        <f t="shared" ref="Q25:Q33" si="20">COUNTIF($K$5:$K$19,"&gt;"&amp;N25)</f>
        <v>0</v>
      </c>
      <c r="R25" s="109">
        <f>P25-Q25</f>
        <v>0</v>
      </c>
      <c r="S25" s="109">
        <f>R25-R34</f>
        <v>0</v>
      </c>
      <c r="T25" s="110">
        <f t="shared" ref="T25:T33" si="21">S25*$T$35/$S$34</f>
        <v>0</v>
      </c>
      <c r="U25" s="121">
        <f t="shared" ref="U25:U33" si="22">S25+T25</f>
        <v>0</v>
      </c>
    </row>
    <row r="26" spans="2:22" x14ac:dyDescent="0.25">
      <c r="B26" s="80">
        <v>2010</v>
      </c>
      <c r="C26" s="85">
        <f t="shared" si="10"/>
        <v>1470000</v>
      </c>
      <c r="D26" s="72">
        <f t="shared" si="11"/>
        <v>1</v>
      </c>
      <c r="E26" s="90">
        <f t="shared" si="12"/>
        <v>480</v>
      </c>
      <c r="F26" s="69">
        <f t="shared" si="13"/>
        <v>0</v>
      </c>
      <c r="G26" s="73">
        <f t="shared" si="14"/>
        <v>0</v>
      </c>
      <c r="H26" s="70">
        <f t="shared" si="15"/>
        <v>0</v>
      </c>
      <c r="I26" s="126">
        <f t="shared" si="16"/>
        <v>0</v>
      </c>
      <c r="J26" s="43"/>
      <c r="L26">
        <f t="shared" si="17"/>
        <v>2010</v>
      </c>
      <c r="M26" s="115">
        <v>40543</v>
      </c>
      <c r="N26" s="118">
        <f t="shared" si="18"/>
        <v>2496</v>
      </c>
      <c r="O26" s="72">
        <f t="shared" si="19"/>
        <v>729</v>
      </c>
      <c r="P26" s="100">
        <f>T20</f>
        <v>0</v>
      </c>
      <c r="Q26" s="100">
        <f t="shared" si="20"/>
        <v>0</v>
      </c>
      <c r="R26" s="100">
        <v>0</v>
      </c>
      <c r="S26" s="100">
        <f t="shared" ref="S26:S33" si="23">R26-R25</f>
        <v>0</v>
      </c>
      <c r="T26" s="101">
        <f t="shared" si="21"/>
        <v>0</v>
      </c>
      <c r="U26" s="122">
        <f t="shared" si="22"/>
        <v>0</v>
      </c>
    </row>
    <row r="27" spans="2:22" x14ac:dyDescent="0.25">
      <c r="B27" s="80">
        <v>2011</v>
      </c>
      <c r="C27" s="85">
        <f t="shared" si="10"/>
        <v>6254400</v>
      </c>
      <c r="D27" s="72">
        <f t="shared" si="11"/>
        <v>2</v>
      </c>
      <c r="E27" s="90">
        <f t="shared" si="12"/>
        <v>485</v>
      </c>
      <c r="F27" s="69">
        <f t="shared" si="13"/>
        <v>0</v>
      </c>
      <c r="G27" s="73">
        <f t="shared" si="14"/>
        <v>0</v>
      </c>
      <c r="H27" s="70">
        <f t="shared" si="15"/>
        <v>0</v>
      </c>
      <c r="I27" s="126">
        <f t="shared" si="16"/>
        <v>0</v>
      </c>
      <c r="J27" s="43"/>
      <c r="L27">
        <f t="shared" si="17"/>
        <v>2011</v>
      </c>
      <c r="M27" s="115">
        <v>40908</v>
      </c>
      <c r="N27" s="118">
        <f t="shared" si="18"/>
        <v>2131</v>
      </c>
      <c r="O27" s="72">
        <f t="shared" si="19"/>
        <v>1094</v>
      </c>
      <c r="P27" s="100">
        <f>S20</f>
        <v>0</v>
      </c>
      <c r="Q27" s="100">
        <f t="shared" si="20"/>
        <v>0</v>
      </c>
      <c r="R27" s="100">
        <f t="shared" ref="R27:R33" si="24">P27-Q27</f>
        <v>0</v>
      </c>
      <c r="S27" s="100">
        <f t="shared" si="23"/>
        <v>0</v>
      </c>
      <c r="T27" s="101">
        <f t="shared" si="21"/>
        <v>0</v>
      </c>
      <c r="U27" s="122">
        <f t="shared" si="22"/>
        <v>0</v>
      </c>
    </row>
    <row r="28" spans="2:22" x14ac:dyDescent="0.25">
      <c r="B28" s="80">
        <v>2012</v>
      </c>
      <c r="C28" s="85">
        <f t="shared" si="10"/>
        <v>375000</v>
      </c>
      <c r="D28" s="72">
        <f t="shared" si="11"/>
        <v>2</v>
      </c>
      <c r="E28" s="90">
        <f t="shared" si="12"/>
        <v>490</v>
      </c>
      <c r="F28" s="69">
        <f t="shared" si="13"/>
        <v>2.4561403508772006E-2</v>
      </c>
      <c r="G28" s="73">
        <f t="shared" si="14"/>
        <v>2.5588080001168021E-3</v>
      </c>
      <c r="H28" s="70">
        <f t="shared" si="15"/>
        <v>2.7120211508888808E-2</v>
      </c>
      <c r="I28" s="126">
        <f t="shared" si="16"/>
        <v>31376.0959002737</v>
      </c>
      <c r="J28" s="43"/>
      <c r="L28">
        <f t="shared" si="17"/>
        <v>2012</v>
      </c>
      <c r="M28" s="115">
        <v>41274</v>
      </c>
      <c r="N28" s="118">
        <f t="shared" si="18"/>
        <v>1765</v>
      </c>
      <c r="O28" s="72">
        <f t="shared" si="19"/>
        <v>1460</v>
      </c>
      <c r="P28" s="100">
        <f>R20</f>
        <v>1.024561403508772</v>
      </c>
      <c r="Q28" s="100">
        <f t="shared" si="20"/>
        <v>1</v>
      </c>
      <c r="R28" s="100">
        <f t="shared" si="24"/>
        <v>2.4561403508772006E-2</v>
      </c>
      <c r="S28" s="100">
        <f t="shared" si="23"/>
        <v>2.4561403508772006E-2</v>
      </c>
      <c r="T28" s="101">
        <f t="shared" si="21"/>
        <v>2.5588080001168021E-3</v>
      </c>
      <c r="U28" s="122">
        <f t="shared" si="22"/>
        <v>2.7120211508888808E-2</v>
      </c>
    </row>
    <row r="29" spans="2:22" x14ac:dyDescent="0.25">
      <c r="B29" s="80">
        <v>2013</v>
      </c>
      <c r="C29" s="86">
        <f t="shared" si="10"/>
        <v>1155000</v>
      </c>
      <c r="D29" s="74">
        <f t="shared" si="11"/>
        <v>2</v>
      </c>
      <c r="E29" s="91">
        <f t="shared" si="12"/>
        <v>505</v>
      </c>
      <c r="F29" s="69">
        <f t="shared" si="13"/>
        <v>0.25614035087719289</v>
      </c>
      <c r="G29" s="73">
        <f t="shared" si="14"/>
        <v>2.668471200121799E-2</v>
      </c>
      <c r="H29" s="70">
        <f t="shared" si="15"/>
        <v>0.28282506287841086</v>
      </c>
      <c r="I29" s="126">
        <f t="shared" si="16"/>
        <v>327207.85724571033</v>
      </c>
      <c r="J29" s="43"/>
      <c r="L29">
        <f t="shared" si="17"/>
        <v>2013</v>
      </c>
      <c r="M29" s="115">
        <v>41639</v>
      </c>
      <c r="N29" s="118">
        <f t="shared" si="18"/>
        <v>1400</v>
      </c>
      <c r="O29" s="72">
        <f t="shared" si="19"/>
        <v>1825</v>
      </c>
      <c r="P29" s="100">
        <f>Q20</f>
        <v>1.2807017543859649</v>
      </c>
      <c r="Q29" s="100">
        <f t="shared" si="20"/>
        <v>1</v>
      </c>
      <c r="R29" s="100">
        <f t="shared" si="24"/>
        <v>0.2807017543859649</v>
      </c>
      <c r="S29" s="100">
        <f t="shared" si="23"/>
        <v>0.25614035087719289</v>
      </c>
      <c r="T29" s="101">
        <f t="shared" si="21"/>
        <v>2.668471200121799E-2</v>
      </c>
      <c r="U29" s="122">
        <f t="shared" si="22"/>
        <v>0.28282506287841086</v>
      </c>
    </row>
    <row r="30" spans="2:22" x14ac:dyDescent="0.25">
      <c r="B30" s="80">
        <v>2014</v>
      </c>
      <c r="C30" s="86">
        <f t="shared" si="10"/>
        <v>172000</v>
      </c>
      <c r="D30" s="74">
        <f t="shared" si="11"/>
        <v>2</v>
      </c>
      <c r="E30" s="91">
        <f t="shared" si="12"/>
        <v>515</v>
      </c>
      <c r="F30" s="69">
        <f t="shared" si="13"/>
        <v>0.3421502729182988</v>
      </c>
      <c r="G30" s="73">
        <f t="shared" si="14"/>
        <v>3.5645229120266277E-2</v>
      </c>
      <c r="H30" s="70">
        <f t="shared" si="15"/>
        <v>0.3777955020385651</v>
      </c>
      <c r="I30" s="126">
        <f t="shared" si="16"/>
        <v>437081.69085513701</v>
      </c>
      <c r="J30" s="43"/>
      <c r="L30">
        <f t="shared" si="17"/>
        <v>2014</v>
      </c>
      <c r="M30" s="115">
        <v>42004</v>
      </c>
      <c r="N30" s="118">
        <f t="shared" si="18"/>
        <v>1035</v>
      </c>
      <c r="O30" s="72">
        <f t="shared" si="19"/>
        <v>2190</v>
      </c>
      <c r="P30" s="100">
        <f>P20</f>
        <v>3.6228520273042637</v>
      </c>
      <c r="Q30" s="100">
        <f t="shared" si="20"/>
        <v>3</v>
      </c>
      <c r="R30" s="100">
        <f t="shared" si="24"/>
        <v>0.6228520273042637</v>
      </c>
      <c r="S30" s="100">
        <f t="shared" si="23"/>
        <v>0.3421502729182988</v>
      </c>
      <c r="T30" s="101">
        <f t="shared" si="21"/>
        <v>3.5645229120266277E-2</v>
      </c>
      <c r="U30" s="122">
        <f t="shared" si="22"/>
        <v>0.3777955020385651</v>
      </c>
    </row>
    <row r="31" spans="2:22" x14ac:dyDescent="0.25">
      <c r="B31" s="80">
        <v>2015</v>
      </c>
      <c r="C31" s="86">
        <f t="shared" si="10"/>
        <v>625000</v>
      </c>
      <c r="D31" s="74">
        <f t="shared" si="11"/>
        <v>2</v>
      </c>
      <c r="E31" s="91">
        <f t="shared" si="12"/>
        <v>520</v>
      </c>
      <c r="F31" s="69">
        <f t="shared" si="13"/>
        <v>0.81798394706248256</v>
      </c>
      <c r="G31" s="73">
        <f t="shared" si="14"/>
        <v>8.5217600328216986E-2</v>
      </c>
      <c r="H31" s="70">
        <f t="shared" si="15"/>
        <v>0.90320154739069958</v>
      </c>
      <c r="I31" s="126">
        <f t="shared" si="16"/>
        <v>1044937.9555508975</v>
      </c>
      <c r="J31" s="43"/>
      <c r="L31">
        <f t="shared" si="17"/>
        <v>2015</v>
      </c>
      <c r="M31" s="115">
        <v>42369</v>
      </c>
      <c r="N31" s="118">
        <f t="shared" si="18"/>
        <v>670</v>
      </c>
      <c r="O31" s="72">
        <f t="shared" si="19"/>
        <v>2555</v>
      </c>
      <c r="P31" s="100">
        <f>O20</f>
        <v>7.4408359743667463</v>
      </c>
      <c r="Q31" s="100">
        <f t="shared" si="20"/>
        <v>6</v>
      </c>
      <c r="R31" s="100">
        <f t="shared" si="24"/>
        <v>1.4408359743667463</v>
      </c>
      <c r="S31" s="100">
        <f t="shared" si="23"/>
        <v>0.81798394706248256</v>
      </c>
      <c r="T31" s="101">
        <f t="shared" si="21"/>
        <v>8.5217600328216986E-2</v>
      </c>
      <c r="U31" s="122">
        <f t="shared" si="22"/>
        <v>0.90320154739069958</v>
      </c>
    </row>
    <row r="32" spans="2:22" x14ac:dyDescent="0.25">
      <c r="B32" s="80">
        <v>2016</v>
      </c>
      <c r="C32" s="86">
        <f t="shared" si="10"/>
        <v>2730000</v>
      </c>
      <c r="D32" s="74">
        <f t="shared" si="11"/>
        <v>2</v>
      </c>
      <c r="E32" s="91">
        <f t="shared" si="12"/>
        <v>522</v>
      </c>
      <c r="F32" s="69">
        <f t="shared" si="13"/>
        <v>1.6186205458445526</v>
      </c>
      <c r="G32" s="73">
        <f t="shared" si="14"/>
        <v>0.16862795321860419</v>
      </c>
      <c r="H32" s="70">
        <f t="shared" si="15"/>
        <v>1.7872484990631567</v>
      </c>
      <c r="I32" s="126">
        <f t="shared" si="16"/>
        <v>2067715.4485261412</v>
      </c>
      <c r="J32" s="43"/>
      <c r="L32">
        <f t="shared" si="17"/>
        <v>2016</v>
      </c>
      <c r="M32" s="115">
        <v>42735</v>
      </c>
      <c r="N32" s="118">
        <f>M33-M32</f>
        <v>304</v>
      </c>
      <c r="O32" s="72">
        <f t="shared" si="19"/>
        <v>2921</v>
      </c>
      <c r="P32" s="100">
        <f>N20</f>
        <v>16.059456520211299</v>
      </c>
      <c r="Q32" s="100">
        <f t="shared" si="20"/>
        <v>13</v>
      </c>
      <c r="R32" s="100">
        <f t="shared" si="24"/>
        <v>3.0594565202112989</v>
      </c>
      <c r="S32" s="100">
        <f t="shared" si="23"/>
        <v>1.6186205458445526</v>
      </c>
      <c r="T32" s="101">
        <f t="shared" si="21"/>
        <v>0.16862795321860419</v>
      </c>
      <c r="U32" s="122">
        <f t="shared" si="22"/>
        <v>1.7872484990631567</v>
      </c>
    </row>
    <row r="33" spans="2:21" ht="15.75" thickBot="1" x14ac:dyDescent="0.3">
      <c r="B33" s="81">
        <v>2017</v>
      </c>
      <c r="C33" s="87">
        <f t="shared" si="10"/>
        <v>0</v>
      </c>
      <c r="D33" s="78">
        <f t="shared" si="11"/>
        <v>0</v>
      </c>
      <c r="E33" s="92">
        <f t="shared" si="12"/>
        <v>440</v>
      </c>
      <c r="F33" s="71">
        <f t="shared" si="13"/>
        <v>1.7896890175323534</v>
      </c>
      <c r="G33" s="75">
        <f t="shared" si="14"/>
        <v>0.18644987344259162</v>
      </c>
      <c r="H33" s="88">
        <f t="shared" si="15"/>
        <v>1.9761388909749451</v>
      </c>
      <c r="I33" s="127">
        <f t="shared" si="16"/>
        <v>2286247.7800060068</v>
      </c>
      <c r="J33" s="43"/>
      <c r="L33">
        <v>2017</v>
      </c>
      <c r="M33" s="116">
        <v>43039</v>
      </c>
      <c r="N33" s="119">
        <v>0</v>
      </c>
      <c r="O33" s="111">
        <f t="shared" si="19"/>
        <v>3225</v>
      </c>
      <c r="P33" s="103">
        <f>M20</f>
        <v>19.849145537743652</v>
      </c>
      <c r="Q33" s="103">
        <f t="shared" si="20"/>
        <v>15</v>
      </c>
      <c r="R33" s="103">
        <f t="shared" si="24"/>
        <v>4.8491455377436523</v>
      </c>
      <c r="S33" s="103">
        <f t="shared" si="23"/>
        <v>1.7896890175323534</v>
      </c>
      <c r="T33" s="112">
        <f t="shared" si="21"/>
        <v>0.18644987344259162</v>
      </c>
      <c r="U33" s="123">
        <f t="shared" si="22"/>
        <v>1.9761388909749451</v>
      </c>
    </row>
    <row r="34" spans="2:21" ht="15.75" thickBot="1" x14ac:dyDescent="0.3">
      <c r="B34" s="188" t="s">
        <v>9</v>
      </c>
      <c r="C34" s="189">
        <f t="shared" ref="C34:I34" si="25">SUM(C25:C33)</f>
        <v>17353900</v>
      </c>
      <c r="D34" s="190">
        <f t="shared" si="25"/>
        <v>15</v>
      </c>
      <c r="E34" s="191">
        <f t="shared" si="25"/>
        <v>4432</v>
      </c>
      <c r="F34" s="192">
        <f t="shared" si="25"/>
        <v>4.8491455377436523</v>
      </c>
      <c r="G34" s="193">
        <f t="shared" si="25"/>
        <v>0.50518417611101385</v>
      </c>
      <c r="H34" s="194">
        <f t="shared" si="25"/>
        <v>5.3543297138546659</v>
      </c>
      <c r="I34" s="195">
        <f t="shared" si="25"/>
        <v>6194566.8280841671</v>
      </c>
      <c r="J34" s="43"/>
      <c r="M34" s="82" t="s">
        <v>9</v>
      </c>
      <c r="N34" s="82"/>
      <c r="O34" s="102"/>
      <c r="P34" s="102"/>
      <c r="Q34" s="102"/>
      <c r="R34" s="102"/>
      <c r="S34" s="107">
        <f>SUM(S25:S33)</f>
        <v>4.8491455377436523</v>
      </c>
      <c r="T34" s="108">
        <f>SUM(T25:T33)</f>
        <v>0.50518417611101385</v>
      </c>
      <c r="U34" s="124">
        <f>T34+S34</f>
        <v>5.3543297138546659</v>
      </c>
    </row>
    <row r="35" spans="2:21" x14ac:dyDescent="0.25">
      <c r="B35" s="43"/>
      <c r="C35" s="67" t="s">
        <v>32</v>
      </c>
      <c r="D35" s="64">
        <f>F20/D34</f>
        <v>1156926.6666666667</v>
      </c>
      <c r="E35" s="51"/>
      <c r="F35" s="52"/>
      <c r="G35" s="53"/>
      <c r="H35" s="53"/>
      <c r="I35" s="43"/>
      <c r="J35" s="43"/>
      <c r="S35" s="63" t="s">
        <v>28</v>
      </c>
      <c r="T35">
        <f>M20/H49*I49</f>
        <v>0.50518417611101385</v>
      </c>
    </row>
    <row r="36" spans="2:21" x14ac:dyDescent="0.25">
      <c r="B36" s="43"/>
      <c r="E36" s="46"/>
      <c r="F36" s="46"/>
      <c r="G36" s="54"/>
      <c r="H36" s="53"/>
      <c r="I36" s="43"/>
      <c r="J36" s="43"/>
    </row>
    <row r="37" spans="2:21" x14ac:dyDescent="0.25">
      <c r="B37" s="43"/>
      <c r="C37" s="43"/>
      <c r="D37" s="43"/>
      <c r="E37" s="46"/>
      <c r="F37" s="46"/>
      <c r="G37" s="54"/>
      <c r="H37" s="43"/>
      <c r="I37" s="43"/>
      <c r="J37" s="43"/>
      <c r="K37" s="43"/>
    </row>
    <row r="38" spans="2:21" ht="16.5" thickBot="1" x14ac:dyDescent="0.3">
      <c r="B38" s="43"/>
      <c r="C38" s="43"/>
      <c r="D38" s="43"/>
      <c r="E38" s="46"/>
      <c r="F38" s="46"/>
      <c r="G38" s="55" t="s">
        <v>23</v>
      </c>
      <c r="H38" s="66" t="s">
        <v>34</v>
      </c>
      <c r="I38" s="55"/>
      <c r="J38" s="55"/>
      <c r="M38" s="93"/>
    </row>
    <row r="39" spans="2:21" ht="30.75" thickBot="1" x14ac:dyDescent="0.3">
      <c r="B39" s="43"/>
      <c r="C39" s="113" t="s">
        <v>46</v>
      </c>
      <c r="D39" s="104" t="s">
        <v>47</v>
      </c>
      <c r="E39" s="106" t="s">
        <v>48</v>
      </c>
      <c r="F39" s="46"/>
      <c r="G39" s="128" t="s">
        <v>22</v>
      </c>
      <c r="H39" s="129" t="s">
        <v>21</v>
      </c>
      <c r="I39" s="130" t="s">
        <v>24</v>
      </c>
      <c r="J39" s="131" t="s">
        <v>25</v>
      </c>
    </row>
    <row r="40" spans="2:21" x14ac:dyDescent="0.25">
      <c r="B40" s="43"/>
      <c r="C40" s="114">
        <v>40178</v>
      </c>
      <c r="D40" s="117">
        <f t="shared" ref="D40:D46" si="26">$M$33-C40</f>
        <v>2861</v>
      </c>
      <c r="E40" s="132">
        <f t="shared" ref="E40:E48" si="27">C40-$M$1</f>
        <v>364</v>
      </c>
      <c r="F40" s="46"/>
      <c r="G40" s="65">
        <v>2009</v>
      </c>
      <c r="H40" s="61">
        <v>475</v>
      </c>
      <c r="I40" s="62">
        <v>0</v>
      </c>
      <c r="J40" s="57">
        <f t="shared" ref="J40:J48" si="28">SUM(H40,I40)</f>
        <v>475</v>
      </c>
    </row>
    <row r="41" spans="2:21" x14ac:dyDescent="0.25">
      <c r="B41" s="43"/>
      <c r="C41" s="115">
        <v>40543</v>
      </c>
      <c r="D41" s="118">
        <f t="shared" si="26"/>
        <v>2496</v>
      </c>
      <c r="E41" s="133">
        <f t="shared" si="27"/>
        <v>729</v>
      </c>
      <c r="F41" s="46"/>
      <c r="G41" s="65">
        <f t="shared" ref="G41:G48" si="29">G40+1</f>
        <v>2010</v>
      </c>
      <c r="H41" s="61">
        <v>480</v>
      </c>
      <c r="I41" s="62">
        <v>0</v>
      </c>
      <c r="J41" s="57">
        <f t="shared" si="28"/>
        <v>480</v>
      </c>
    </row>
    <row r="42" spans="2:21" x14ac:dyDescent="0.25">
      <c r="B42" s="43"/>
      <c r="C42" s="115">
        <v>40908</v>
      </c>
      <c r="D42" s="118">
        <f t="shared" si="26"/>
        <v>2131</v>
      </c>
      <c r="E42" s="133">
        <f t="shared" si="27"/>
        <v>1094</v>
      </c>
      <c r="F42" s="46"/>
      <c r="G42" s="65">
        <f t="shared" si="29"/>
        <v>2011</v>
      </c>
      <c r="H42" s="61">
        <v>485</v>
      </c>
      <c r="I42" s="62">
        <v>0</v>
      </c>
      <c r="J42" s="57">
        <f t="shared" si="28"/>
        <v>485</v>
      </c>
    </row>
    <row r="43" spans="2:21" x14ac:dyDescent="0.25">
      <c r="B43" s="43"/>
      <c r="C43" s="115">
        <v>41274</v>
      </c>
      <c r="D43" s="118">
        <f t="shared" si="26"/>
        <v>1765</v>
      </c>
      <c r="E43" s="133">
        <f t="shared" si="27"/>
        <v>1460</v>
      </c>
      <c r="F43" s="46"/>
      <c r="G43" s="65">
        <f t="shared" si="29"/>
        <v>2012</v>
      </c>
      <c r="H43" s="61">
        <v>490</v>
      </c>
      <c r="I43" s="62">
        <v>0</v>
      </c>
      <c r="J43" s="57">
        <f t="shared" si="28"/>
        <v>490</v>
      </c>
    </row>
    <row r="44" spans="2:21" x14ac:dyDescent="0.25">
      <c r="B44" s="43"/>
      <c r="C44" s="115">
        <v>41639</v>
      </c>
      <c r="D44" s="118">
        <f t="shared" si="26"/>
        <v>1400</v>
      </c>
      <c r="E44" s="133">
        <f t="shared" si="27"/>
        <v>1825</v>
      </c>
      <c r="F44" s="46"/>
      <c r="G44" s="65">
        <f t="shared" si="29"/>
        <v>2013</v>
      </c>
      <c r="H44" s="61">
        <v>500</v>
      </c>
      <c r="I44" s="62">
        <v>5</v>
      </c>
      <c r="J44" s="57">
        <f t="shared" si="28"/>
        <v>505</v>
      </c>
    </row>
    <row r="45" spans="2:21" x14ac:dyDescent="0.25">
      <c r="B45" s="43"/>
      <c r="C45" s="115">
        <v>42004</v>
      </c>
      <c r="D45" s="118">
        <f t="shared" si="26"/>
        <v>1035</v>
      </c>
      <c r="E45" s="133">
        <f t="shared" si="27"/>
        <v>2190</v>
      </c>
      <c r="F45" s="46"/>
      <c r="G45" s="65">
        <f t="shared" si="29"/>
        <v>2014</v>
      </c>
      <c r="H45" s="61">
        <v>505</v>
      </c>
      <c r="I45" s="62">
        <v>10</v>
      </c>
      <c r="J45" s="57">
        <f t="shared" si="28"/>
        <v>515</v>
      </c>
    </row>
    <row r="46" spans="2:21" x14ac:dyDescent="0.25">
      <c r="B46" s="43"/>
      <c r="C46" s="115">
        <v>42369</v>
      </c>
      <c r="D46" s="118">
        <f t="shared" si="26"/>
        <v>670</v>
      </c>
      <c r="E46" s="133">
        <f t="shared" si="27"/>
        <v>2555</v>
      </c>
      <c r="F46" s="46"/>
      <c r="G46" s="65">
        <f t="shared" si="29"/>
        <v>2015</v>
      </c>
      <c r="H46" s="61">
        <v>495</v>
      </c>
      <c r="I46" s="62">
        <v>25</v>
      </c>
      <c r="J46" s="57">
        <f t="shared" si="28"/>
        <v>520</v>
      </c>
    </row>
    <row r="47" spans="2:21" x14ac:dyDescent="0.25">
      <c r="B47" s="43"/>
      <c r="C47" s="115">
        <v>42735</v>
      </c>
      <c r="D47" s="118">
        <f>C48-C47</f>
        <v>304</v>
      </c>
      <c r="E47" s="133">
        <f t="shared" si="27"/>
        <v>2921</v>
      </c>
      <c r="F47" s="46"/>
      <c r="G47" s="65">
        <f t="shared" si="29"/>
        <v>2016</v>
      </c>
      <c r="H47" s="61">
        <v>492</v>
      </c>
      <c r="I47" s="62">
        <v>30</v>
      </c>
      <c r="J47" s="57">
        <f t="shared" si="28"/>
        <v>522</v>
      </c>
    </row>
    <row r="48" spans="2:21" ht="15.75" thickBot="1" x14ac:dyDescent="0.3">
      <c r="B48" s="43"/>
      <c r="C48" s="116">
        <v>43039</v>
      </c>
      <c r="D48" s="119">
        <v>0</v>
      </c>
      <c r="E48" s="134">
        <f t="shared" si="27"/>
        <v>3225</v>
      </c>
      <c r="F48" s="46"/>
      <c r="G48" s="65">
        <f t="shared" si="29"/>
        <v>2017</v>
      </c>
      <c r="H48" s="61">
        <v>400</v>
      </c>
      <c r="I48" s="62">
        <v>40</v>
      </c>
      <c r="J48" s="57">
        <f t="shared" si="28"/>
        <v>440</v>
      </c>
    </row>
    <row r="49" spans="2:10" ht="15.75" thickBot="1" x14ac:dyDescent="0.3">
      <c r="B49" s="43"/>
      <c r="C49" s="43"/>
      <c r="D49" s="43"/>
      <c r="E49" s="46"/>
      <c r="F49" s="46"/>
      <c r="G49" s="56"/>
      <c r="H49" s="58">
        <f>SUM(H40:H48)</f>
        <v>4322</v>
      </c>
      <c r="I49" s="59">
        <f>SUM(I40:I48)</f>
        <v>110</v>
      </c>
      <c r="J49" s="60">
        <f>SUM(J40:J48)</f>
        <v>4432</v>
      </c>
    </row>
  </sheetData>
  <pageMargins left="0.7" right="0.7" top="0.78740157499999996" bottom="0.78740157499999996" header="0.3" footer="0.3"/>
  <pageSetup paperSize="9" orientation="portrait" r:id="rId1"/>
  <ignoredErrors>
    <ignoredError sqref="F7 E11 F12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zoomScale="115" zoomScaleNormal="115" workbookViewId="0">
      <selection activeCell="E26" sqref="E26"/>
    </sheetView>
  </sheetViews>
  <sheetFormatPr defaultRowHeight="15" x14ac:dyDescent="0.25"/>
  <cols>
    <col min="2" max="2" width="19.140625" style="94" bestFit="1" customWidth="1"/>
    <col min="3" max="3" width="18.85546875" bestFit="1" customWidth="1"/>
    <col min="4" max="4" width="1.42578125" customWidth="1"/>
    <col min="5" max="5" width="33.42578125" bestFit="1" customWidth="1"/>
    <col min="6" max="7" width="11.140625" bestFit="1" customWidth="1"/>
    <col min="8" max="8" width="11.140625" customWidth="1"/>
  </cols>
  <sheetData>
    <row r="1" spans="2:9" ht="15.75" thickBot="1" x14ac:dyDescent="0.3"/>
    <row r="2" spans="2:9" ht="16.5" thickBot="1" x14ac:dyDescent="0.3">
      <c r="B2" s="159" t="s">
        <v>58</v>
      </c>
      <c r="C2" s="172"/>
      <c r="D2" s="167"/>
      <c r="E2" s="173" t="s">
        <v>53</v>
      </c>
      <c r="F2" s="196" t="s">
        <v>44</v>
      </c>
      <c r="G2" s="197"/>
      <c r="H2" s="198"/>
    </row>
    <row r="3" spans="2:9" x14ac:dyDescent="0.25">
      <c r="B3" s="151" t="s">
        <v>45</v>
      </c>
      <c r="C3" s="155">
        <f>BE!H34+BE!D34</f>
        <v>20.354329713854668</v>
      </c>
      <c r="D3" s="168"/>
      <c r="E3" s="174" t="s">
        <v>50</v>
      </c>
      <c r="F3" s="199">
        <f>BE!I34</f>
        <v>6194566.8280841671</v>
      </c>
      <c r="G3" s="200"/>
      <c r="H3" s="201"/>
      <c r="I3" s="42" t="s">
        <v>41</v>
      </c>
    </row>
    <row r="4" spans="2:9" x14ac:dyDescent="0.25">
      <c r="B4" s="152" t="s">
        <v>56</v>
      </c>
      <c r="C4" s="156">
        <f>BE!D34</f>
        <v>15</v>
      </c>
      <c r="D4" s="169"/>
      <c r="E4" s="175" t="s">
        <v>51</v>
      </c>
      <c r="F4" s="202">
        <f>C8</f>
        <v>4500054.4416280407</v>
      </c>
      <c r="G4" s="203"/>
      <c r="H4" s="204"/>
      <c r="I4" s="42" t="s">
        <v>42</v>
      </c>
    </row>
    <row r="5" spans="2:9" ht="15.75" thickBot="1" x14ac:dyDescent="0.3">
      <c r="B5" s="154" t="s">
        <v>57</v>
      </c>
      <c r="C5" s="157">
        <f>BE!H34</f>
        <v>5.3543297138546659</v>
      </c>
      <c r="D5" s="170"/>
      <c r="E5" s="176" t="s">
        <v>52</v>
      </c>
      <c r="F5" s="205">
        <f>F4/F3</f>
        <v>0.72645183537713176</v>
      </c>
      <c r="G5" s="206"/>
      <c r="H5" s="207"/>
      <c r="I5" s="42" t="s">
        <v>43</v>
      </c>
    </row>
    <row r="6" spans="2:9" ht="15.75" thickBot="1" x14ac:dyDescent="0.3">
      <c r="B6" s="151" t="s">
        <v>38</v>
      </c>
      <c r="C6" s="158">
        <f>AVERAGE(BE!L5:L19)</f>
        <v>3782077507333.3335</v>
      </c>
      <c r="D6" s="169"/>
      <c r="E6" s="160" t="s">
        <v>49</v>
      </c>
      <c r="F6" s="177">
        <v>0.75</v>
      </c>
      <c r="G6" s="178">
        <v>0.9</v>
      </c>
      <c r="H6" s="178">
        <v>0.95</v>
      </c>
    </row>
    <row r="7" spans="2:9" ht="15.75" thickBot="1" x14ac:dyDescent="0.3">
      <c r="B7" s="152" t="s">
        <v>39</v>
      </c>
      <c r="C7" s="156">
        <f>C6*C5</f>
        <v>20250489977616.254</v>
      </c>
      <c r="D7" s="169"/>
      <c r="E7" s="164" t="s">
        <v>54</v>
      </c>
      <c r="F7" s="165">
        <f>_xlfn.NORM.INV(F6,F3,F4)</f>
        <v>9229807.4242866337</v>
      </c>
      <c r="G7" s="166">
        <f>_xlfn.NORM.INV(G6,F3,F4)</f>
        <v>11961618.642788516</v>
      </c>
      <c r="H7" s="166">
        <f>_xlfn.NORM.INV(H6,F3,F4)</f>
        <v>13596497.697875129</v>
      </c>
    </row>
    <row r="8" spans="2:9" ht="15.75" thickBot="1" x14ac:dyDescent="0.3">
      <c r="B8" s="153" t="s">
        <v>40</v>
      </c>
      <c r="C8" s="179">
        <f>SQRT(C7)</f>
        <v>4500054.4416280407</v>
      </c>
      <c r="D8" s="171"/>
      <c r="E8" s="163" t="s">
        <v>55</v>
      </c>
      <c r="F8" s="161">
        <f>F7-F3</f>
        <v>3035240.5962024666</v>
      </c>
      <c r="G8" s="162">
        <f>G7-F3</f>
        <v>5767051.8147043493</v>
      </c>
      <c r="H8" s="162">
        <f>H7-F3</f>
        <v>7401930.869790962</v>
      </c>
    </row>
  </sheetData>
  <mergeCells count="4">
    <mergeCell ref="F2:H2"/>
    <mergeCell ref="F3:H3"/>
    <mergeCell ref="F4:H4"/>
    <mergeCell ref="F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BE</vt:lpstr>
      <vt:lpstr>GSM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Grzonkova Iveta</dc:creator>
  <cp:lastModifiedBy>Grzonkova Iveta</cp:lastModifiedBy>
  <dcterms:created xsi:type="dcterms:W3CDTF">2017-11-06T13:38:24Z</dcterms:created>
  <dcterms:modified xsi:type="dcterms:W3CDTF">2017-11-15T13:40:49Z</dcterms:modified>
</cp:coreProperties>
</file>