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tastkova\Desktop\ČSpA\"/>
    </mc:Choice>
  </mc:AlternateContent>
  <xr:revisionPtr revIDLastSave="0" documentId="13_ncr:1_{45F622B0-82A7-40FE-A928-E2CF2F2C3524}" xr6:coauthVersionLast="44" xr6:coauthVersionMax="44" xr10:uidLastSave="{00000000-0000-0000-0000-000000000000}"/>
  <bookViews>
    <workbookView xWindow="-120" yWindow="-120" windowWidth="29040" windowHeight="15840" tabRatio="739" xr2:uid="{00000000-000D-0000-FFFF-FFFF00000000}"/>
  </bookViews>
  <sheets>
    <sheet name="Shrnutí" sheetId="1" r:id="rId1"/>
    <sheet name="BP_Actuaria_2020" sheetId="11" r:id="rId2"/>
    <sheet name="JAS_Shrnuti 2020" sheetId="3" r:id="rId3"/>
    <sheet name="JAS_Rozpocet 2020 (detail)" sheetId="4" r:id="rId4"/>
    <sheet name="JAS_Vyuctovani Ricany 2019" sheetId="5" r:id="rId5"/>
    <sheet name="CERA" sheetId="6" r:id="rId6"/>
    <sheet name="BP_Actuaria_2020_bez úpravy" sheetId="12" r:id="rId7"/>
    <sheet name="Graf" sheetId="8" r:id="rId8"/>
    <sheet name="BP_Actuaria_2020_sensDPH" sheetId="13" r:id="rId9"/>
    <sheet name="SensDPH_shrnutí" sheetId="10" r:id="rId10"/>
  </sheets>
  <definedNames>
    <definedName name="OLE_LINK3" localSheetId="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4" roundtripDataSignature="AMtx7miSEVFrwj3Qg677cfpXv+DzUoCJpQ=="/>
    </ext>
  </extLst>
</workbook>
</file>

<file path=xl/calcChain.xml><?xml version="1.0" encoding="utf-8"?>
<calcChain xmlns="http://schemas.openxmlformats.org/spreadsheetml/2006/main">
  <c r="E6" i="4" l="1"/>
  <c r="G31" i="10" l="1"/>
  <c r="F31" i="10"/>
  <c r="E31" i="10"/>
  <c r="D31" i="10"/>
  <c r="C31" i="10"/>
  <c r="G30" i="10"/>
  <c r="F30" i="10"/>
  <c r="E30" i="10"/>
  <c r="D30" i="10"/>
  <c r="C30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19" i="10"/>
  <c r="F19" i="10"/>
  <c r="E19" i="10"/>
  <c r="D19" i="10"/>
  <c r="C19" i="10"/>
  <c r="G17" i="10"/>
  <c r="F17" i="10"/>
  <c r="E17" i="10"/>
  <c r="D17" i="10"/>
  <c r="C17" i="10"/>
  <c r="G16" i="10"/>
  <c r="F16" i="10"/>
  <c r="E16" i="10"/>
  <c r="D16" i="10"/>
  <c r="C16" i="10"/>
  <c r="G15" i="10"/>
  <c r="F15" i="10"/>
  <c r="E15" i="10"/>
  <c r="D15" i="10"/>
  <c r="C15" i="10"/>
  <c r="G8" i="10"/>
  <c r="F8" i="10"/>
  <c r="E8" i="10"/>
  <c r="D8" i="10"/>
  <c r="C8" i="10"/>
  <c r="G6" i="10"/>
  <c r="F6" i="10"/>
  <c r="E6" i="10"/>
  <c r="D6" i="10"/>
  <c r="C6" i="10"/>
  <c r="G5" i="10"/>
  <c r="F5" i="10"/>
  <c r="E5" i="10"/>
  <c r="D5" i="10"/>
  <c r="C5" i="10"/>
  <c r="G4" i="10"/>
  <c r="F4" i="10"/>
  <c r="E4" i="10"/>
  <c r="D4" i="10"/>
  <c r="C4" i="10"/>
  <c r="C11" i="8"/>
  <c r="D10" i="8"/>
  <c r="C10" i="8"/>
  <c r="D9" i="8"/>
  <c r="D7" i="8"/>
  <c r="C7" i="8"/>
  <c r="D6" i="8"/>
  <c r="C6" i="8"/>
  <c r="D5" i="8"/>
  <c r="C5" i="8"/>
  <c r="F9" i="8"/>
  <c r="F10" i="8"/>
  <c r="E10" i="8"/>
  <c r="E11" i="8"/>
  <c r="F6" i="8"/>
  <c r="F7" i="8"/>
  <c r="F5" i="8"/>
  <c r="E6" i="8"/>
  <c r="E7" i="8"/>
  <c r="E5" i="8"/>
  <c r="B78" i="4"/>
  <c r="B77" i="4"/>
  <c r="B37" i="4"/>
  <c r="N31" i="10"/>
  <c r="M31" i="10"/>
  <c r="L31" i="10"/>
  <c r="K31" i="10"/>
  <c r="J31" i="10"/>
  <c r="N30" i="10"/>
  <c r="M30" i="10"/>
  <c r="L30" i="10"/>
  <c r="K30" i="10"/>
  <c r="J30" i="10"/>
  <c r="N28" i="10"/>
  <c r="M28" i="10"/>
  <c r="L28" i="10"/>
  <c r="K28" i="10"/>
  <c r="J28" i="10"/>
  <c r="N27" i="10"/>
  <c r="M27" i="10"/>
  <c r="L27" i="10"/>
  <c r="K27" i="10"/>
  <c r="J27" i="10"/>
  <c r="N26" i="10"/>
  <c r="M26" i="10"/>
  <c r="L26" i="10"/>
  <c r="K26" i="10"/>
  <c r="J26" i="10"/>
  <c r="N19" i="10"/>
  <c r="M19" i="10"/>
  <c r="L19" i="10"/>
  <c r="K19" i="10"/>
  <c r="J19" i="10"/>
  <c r="N17" i="10"/>
  <c r="M17" i="10"/>
  <c r="L17" i="10"/>
  <c r="K17" i="10"/>
  <c r="J17" i="10"/>
  <c r="N16" i="10"/>
  <c r="M16" i="10"/>
  <c r="L16" i="10"/>
  <c r="K16" i="10"/>
  <c r="J16" i="10"/>
  <c r="N15" i="10"/>
  <c r="M15" i="10"/>
  <c r="L15" i="10"/>
  <c r="K15" i="10"/>
  <c r="J15" i="10"/>
  <c r="N8" i="10"/>
  <c r="M8" i="10"/>
  <c r="L8" i="10"/>
  <c r="K8" i="10"/>
  <c r="J8" i="10"/>
  <c r="N6" i="10"/>
  <c r="M6" i="10"/>
  <c r="L6" i="10"/>
  <c r="K6" i="10"/>
  <c r="J6" i="10"/>
  <c r="N5" i="10"/>
  <c r="M5" i="10"/>
  <c r="L5" i="10"/>
  <c r="K5" i="10"/>
  <c r="J5" i="10"/>
  <c r="N4" i="10"/>
  <c r="M4" i="10"/>
  <c r="L4" i="10"/>
  <c r="K4" i="10"/>
  <c r="J4" i="10"/>
  <c r="C78" i="4"/>
  <c r="C77" i="4"/>
  <c r="C37" i="4"/>
  <c r="V80" i="4"/>
  <c r="T35" i="4" l="1"/>
  <c r="E15" i="4"/>
  <c r="F136" i="13" l="1"/>
  <c r="G136" i="13" s="1"/>
  <c r="H136" i="13" s="1"/>
  <c r="E136" i="13"/>
  <c r="F114" i="13"/>
  <c r="G114" i="13"/>
  <c r="H114" i="13"/>
  <c r="E114" i="13"/>
  <c r="F107" i="13"/>
  <c r="G107" i="13" s="1"/>
  <c r="H107" i="13" s="1"/>
  <c r="E107" i="13"/>
  <c r="H147" i="13"/>
  <c r="G147" i="13"/>
  <c r="G146" i="13" s="1"/>
  <c r="F147" i="13"/>
  <c r="E147" i="13"/>
  <c r="D147" i="13"/>
  <c r="H146" i="13"/>
  <c r="F146" i="13"/>
  <c r="D146" i="13"/>
  <c r="H144" i="13"/>
  <c r="G144" i="13"/>
  <c r="G143" i="13" s="1"/>
  <c r="F144" i="13"/>
  <c r="E144" i="13"/>
  <c r="E143" i="13" s="1"/>
  <c r="L16" i="13" s="1"/>
  <c r="D144" i="13"/>
  <c r="H143" i="13"/>
  <c r="F143" i="13"/>
  <c r="D143" i="13"/>
  <c r="K16" i="13" s="1"/>
  <c r="E141" i="13"/>
  <c r="E139" i="13" s="1"/>
  <c r="F140" i="13"/>
  <c r="E140" i="13"/>
  <c r="D140" i="13"/>
  <c r="D141" i="13" s="1"/>
  <c r="R14" i="13" s="1"/>
  <c r="D138" i="13"/>
  <c r="D136" i="13"/>
  <c r="D137" i="13" s="1"/>
  <c r="D134" i="13"/>
  <c r="D13" i="13" s="1"/>
  <c r="D131" i="13"/>
  <c r="D132" i="13" s="1"/>
  <c r="E130" i="13"/>
  <c r="E131" i="13" s="1"/>
  <c r="E132" i="13" s="1"/>
  <c r="D127" i="13"/>
  <c r="E126" i="13"/>
  <c r="D124" i="13"/>
  <c r="D121" i="13"/>
  <c r="D122" i="13" s="1"/>
  <c r="R33" i="13" s="1"/>
  <c r="E120" i="13"/>
  <c r="D117" i="13"/>
  <c r="D125" i="13" s="1"/>
  <c r="E116" i="13"/>
  <c r="D114" i="13"/>
  <c r="D109" i="13"/>
  <c r="E108" i="13"/>
  <c r="E109" i="13" s="1"/>
  <c r="D108" i="13"/>
  <c r="D103" i="13"/>
  <c r="D93" i="13"/>
  <c r="E79" i="13"/>
  <c r="D79" i="13"/>
  <c r="D80" i="13" s="1"/>
  <c r="K6" i="13" s="1"/>
  <c r="F77" i="13"/>
  <c r="G77" i="13" s="1"/>
  <c r="H77" i="13" s="1"/>
  <c r="E77" i="13"/>
  <c r="L82" i="13" s="1"/>
  <c r="D77" i="13"/>
  <c r="G76" i="13"/>
  <c r="H76" i="13" s="1"/>
  <c r="F76" i="13"/>
  <c r="E76" i="13"/>
  <c r="D76" i="13"/>
  <c r="D75" i="13"/>
  <c r="E75" i="13" s="1"/>
  <c r="H70" i="13"/>
  <c r="G70" i="13"/>
  <c r="F70" i="13"/>
  <c r="D68" i="13"/>
  <c r="D67" i="13"/>
  <c r="H64" i="13"/>
  <c r="G64" i="13"/>
  <c r="E64" i="13"/>
  <c r="F64" i="13" s="1"/>
  <c r="E63" i="13"/>
  <c r="E65" i="13" s="1"/>
  <c r="D63" i="13"/>
  <c r="D65" i="13" s="1"/>
  <c r="D61" i="13"/>
  <c r="D31" i="13" s="1"/>
  <c r="F60" i="13"/>
  <c r="G60" i="13" s="1"/>
  <c r="E59" i="13"/>
  <c r="E61" i="13" s="1"/>
  <c r="D59" i="13"/>
  <c r="H56" i="13"/>
  <c r="G56" i="13"/>
  <c r="F56" i="13"/>
  <c r="E55" i="13"/>
  <c r="E57" i="13" s="1"/>
  <c r="D55" i="13"/>
  <c r="D57" i="13" s="1"/>
  <c r="L54" i="13"/>
  <c r="M54" i="13" s="1"/>
  <c r="L52" i="13"/>
  <c r="G52" i="13"/>
  <c r="F52" i="13"/>
  <c r="F68" i="13" s="1"/>
  <c r="E52" i="13"/>
  <c r="E68" i="13" s="1"/>
  <c r="L51" i="13"/>
  <c r="L50" i="13"/>
  <c r="G50" i="13"/>
  <c r="F50" i="13"/>
  <c r="F67" i="13" s="1"/>
  <c r="E50" i="13"/>
  <c r="E67" i="13" s="1"/>
  <c r="E69" i="13" s="1"/>
  <c r="H49" i="13"/>
  <c r="G49" i="13"/>
  <c r="F49" i="13"/>
  <c r="E46" i="13"/>
  <c r="F46" i="13" s="1"/>
  <c r="D45" i="13"/>
  <c r="G44" i="13"/>
  <c r="H44" i="13" s="1"/>
  <c r="F44" i="13"/>
  <c r="F43" i="13"/>
  <c r="K33" i="13"/>
  <c r="E33" i="13"/>
  <c r="D33" i="13"/>
  <c r="R31" i="13"/>
  <c r="K31" i="13"/>
  <c r="O20" i="13"/>
  <c r="N20" i="13"/>
  <c r="M20" i="13"/>
  <c r="L20" i="13"/>
  <c r="K20" i="13"/>
  <c r="H20" i="13"/>
  <c r="G20" i="13"/>
  <c r="F20" i="13"/>
  <c r="E20" i="13"/>
  <c r="D20" i="13"/>
  <c r="V16" i="13"/>
  <c r="U16" i="13"/>
  <c r="T16" i="13"/>
  <c r="S16" i="13"/>
  <c r="R16" i="13"/>
  <c r="O16" i="13"/>
  <c r="N16" i="13"/>
  <c r="M16" i="13"/>
  <c r="H16" i="13"/>
  <c r="G16" i="13"/>
  <c r="F16" i="13"/>
  <c r="E16" i="13"/>
  <c r="D16" i="13"/>
  <c r="V15" i="13"/>
  <c r="U15" i="13"/>
  <c r="T15" i="13"/>
  <c r="R15" i="13"/>
  <c r="O15" i="13"/>
  <c r="N15" i="13"/>
  <c r="M15" i="13"/>
  <c r="K15" i="13"/>
  <c r="H15" i="13"/>
  <c r="G15" i="13"/>
  <c r="F15" i="13"/>
  <c r="E15" i="13"/>
  <c r="D15" i="13"/>
  <c r="S14" i="13"/>
  <c r="M14" i="13"/>
  <c r="L14" i="13"/>
  <c r="K14" i="13"/>
  <c r="E14" i="13"/>
  <c r="K12" i="13"/>
  <c r="D12" i="13"/>
  <c r="R11" i="13"/>
  <c r="K11" i="13"/>
  <c r="D11" i="13"/>
  <c r="K10" i="13"/>
  <c r="D6" i="13"/>
  <c r="F137" i="12"/>
  <c r="G137" i="12"/>
  <c r="H137" i="12" s="1"/>
  <c r="E137" i="12"/>
  <c r="H114" i="12"/>
  <c r="F114" i="12"/>
  <c r="G114" i="12"/>
  <c r="E114" i="12"/>
  <c r="F107" i="12"/>
  <c r="G107" i="12" s="1"/>
  <c r="H107" i="12" s="1"/>
  <c r="E107" i="12"/>
  <c r="H147" i="12"/>
  <c r="H146" i="12" s="1"/>
  <c r="G147" i="12"/>
  <c r="F147" i="12"/>
  <c r="E147" i="12"/>
  <c r="D147" i="12"/>
  <c r="D146" i="12" s="1"/>
  <c r="G146" i="12"/>
  <c r="F146" i="12"/>
  <c r="M15" i="12" s="1"/>
  <c r="H144" i="12"/>
  <c r="H143" i="12" s="1"/>
  <c r="O16" i="12" s="1"/>
  <c r="G144" i="12"/>
  <c r="G143" i="12" s="1"/>
  <c r="F144" i="12"/>
  <c r="F143" i="12" s="1"/>
  <c r="E144" i="12"/>
  <c r="D144" i="12"/>
  <c r="D143" i="12" s="1"/>
  <c r="K16" i="12" s="1"/>
  <c r="E143" i="12"/>
  <c r="D141" i="12"/>
  <c r="G140" i="12"/>
  <c r="F140" i="12"/>
  <c r="F141" i="12" s="1"/>
  <c r="T14" i="12" s="1"/>
  <c r="E140" i="12"/>
  <c r="D140" i="12"/>
  <c r="D139" i="12"/>
  <c r="D138" i="12"/>
  <c r="E138" i="12"/>
  <c r="D136" i="12"/>
  <c r="D134" i="12"/>
  <c r="D132" i="12"/>
  <c r="D131" i="12"/>
  <c r="E130" i="12"/>
  <c r="D127" i="12"/>
  <c r="E126" i="12"/>
  <c r="D124" i="12"/>
  <c r="D121" i="12"/>
  <c r="E120" i="12"/>
  <c r="E124" i="12" s="1"/>
  <c r="D117" i="12"/>
  <c r="G116" i="12"/>
  <c r="F116" i="12"/>
  <c r="F117" i="12" s="1"/>
  <c r="E116" i="12"/>
  <c r="E117" i="12" s="1"/>
  <c r="D114" i="12"/>
  <c r="D109" i="12"/>
  <c r="D108" i="12"/>
  <c r="D103" i="12"/>
  <c r="D93" i="12"/>
  <c r="L81" i="12"/>
  <c r="E77" i="12"/>
  <c r="D77" i="12"/>
  <c r="D79" i="12" s="1"/>
  <c r="F76" i="12"/>
  <c r="G76" i="12" s="1"/>
  <c r="H76" i="12" s="1"/>
  <c r="E76" i="12"/>
  <c r="L51" i="12" s="1"/>
  <c r="E75" i="12"/>
  <c r="G70" i="12"/>
  <c r="H70" i="12" s="1"/>
  <c r="F70" i="12"/>
  <c r="E68" i="12"/>
  <c r="D68" i="12"/>
  <c r="E67" i="12"/>
  <c r="E69" i="12" s="1"/>
  <c r="D67" i="12"/>
  <c r="D69" i="12" s="1"/>
  <c r="F65" i="12"/>
  <c r="E65" i="12"/>
  <c r="H64" i="12"/>
  <c r="G64" i="12"/>
  <c r="F64" i="12"/>
  <c r="E64" i="12"/>
  <c r="G63" i="12"/>
  <c r="G65" i="12" s="1"/>
  <c r="F63" i="12"/>
  <c r="E63" i="12"/>
  <c r="D63" i="12"/>
  <c r="D65" i="12" s="1"/>
  <c r="E61" i="12"/>
  <c r="D61" i="12"/>
  <c r="R31" i="12" s="1"/>
  <c r="F60" i="12"/>
  <c r="E59" i="12"/>
  <c r="D59" i="12"/>
  <c r="G56" i="12"/>
  <c r="H56" i="12" s="1"/>
  <c r="F56" i="12"/>
  <c r="E55" i="12"/>
  <c r="E57" i="12" s="1"/>
  <c r="D55" i="12"/>
  <c r="D57" i="12" s="1"/>
  <c r="L52" i="12"/>
  <c r="F52" i="12"/>
  <c r="F68" i="12" s="1"/>
  <c r="E52" i="12"/>
  <c r="F50" i="12"/>
  <c r="G50" i="12" s="1"/>
  <c r="E50" i="12"/>
  <c r="H49" i="12"/>
  <c r="G49" i="12"/>
  <c r="F49" i="12"/>
  <c r="E46" i="12"/>
  <c r="F46" i="12" s="1"/>
  <c r="D45" i="12"/>
  <c r="F44" i="12"/>
  <c r="G44" i="12" s="1"/>
  <c r="H44" i="12" s="1"/>
  <c r="H43" i="12"/>
  <c r="H63" i="12" s="1"/>
  <c r="H65" i="12" s="1"/>
  <c r="G43" i="12"/>
  <c r="F43" i="12"/>
  <c r="D33" i="12"/>
  <c r="K31" i="12"/>
  <c r="E31" i="12"/>
  <c r="D31" i="12"/>
  <c r="O20" i="12"/>
  <c r="N20" i="12"/>
  <c r="M20" i="12"/>
  <c r="L20" i="12"/>
  <c r="K20" i="12"/>
  <c r="H20" i="12"/>
  <c r="G20" i="12"/>
  <c r="F20" i="12"/>
  <c r="E20" i="12"/>
  <c r="D20" i="12"/>
  <c r="V16" i="12"/>
  <c r="U16" i="12"/>
  <c r="T16" i="12"/>
  <c r="S16" i="12"/>
  <c r="R16" i="12"/>
  <c r="N16" i="12"/>
  <c r="M16" i="12"/>
  <c r="L16" i="12"/>
  <c r="H16" i="12"/>
  <c r="G16" i="12"/>
  <c r="F16" i="12"/>
  <c r="E16" i="12"/>
  <c r="D16" i="12"/>
  <c r="V15" i="12"/>
  <c r="U15" i="12"/>
  <c r="T15" i="12"/>
  <c r="R15" i="12"/>
  <c r="O15" i="12"/>
  <c r="N15" i="12"/>
  <c r="K15" i="12"/>
  <c r="H15" i="12"/>
  <c r="G15" i="12"/>
  <c r="F15" i="12"/>
  <c r="E15" i="12"/>
  <c r="D15" i="12"/>
  <c r="R14" i="12"/>
  <c r="M14" i="12"/>
  <c r="L14" i="12"/>
  <c r="K14" i="12"/>
  <c r="D14" i="12"/>
  <c r="D13" i="12"/>
  <c r="E12" i="12"/>
  <c r="D12" i="12"/>
  <c r="R11" i="12"/>
  <c r="L11" i="12"/>
  <c r="K11" i="12"/>
  <c r="D11" i="12"/>
  <c r="K10" i="12"/>
  <c r="V6" i="12"/>
  <c r="U6" i="12"/>
  <c r="T6" i="12"/>
  <c r="S6" i="12"/>
  <c r="R6" i="12"/>
  <c r="F137" i="11"/>
  <c r="G137" i="11" s="1"/>
  <c r="H137" i="11" s="1"/>
  <c r="E137" i="11"/>
  <c r="L11" i="11" s="1"/>
  <c r="F114" i="11"/>
  <c r="G114" i="11"/>
  <c r="H114" i="11"/>
  <c r="E114" i="11"/>
  <c r="F107" i="11"/>
  <c r="G107" i="11"/>
  <c r="H107" i="11" s="1"/>
  <c r="E107" i="11"/>
  <c r="E108" i="11" s="1"/>
  <c r="E109" i="11" s="1"/>
  <c r="H147" i="11"/>
  <c r="G147" i="11"/>
  <c r="G146" i="11" s="1"/>
  <c r="F147" i="11"/>
  <c r="E147" i="11"/>
  <c r="E146" i="11" s="1"/>
  <c r="L15" i="11" s="1"/>
  <c r="D147" i="11"/>
  <c r="H146" i="11"/>
  <c r="F146" i="11"/>
  <c r="D146" i="11"/>
  <c r="H144" i="11"/>
  <c r="H143" i="11" s="1"/>
  <c r="G144" i="11"/>
  <c r="G143" i="11" s="1"/>
  <c r="F144" i="11"/>
  <c r="E144" i="11"/>
  <c r="E143" i="11" s="1"/>
  <c r="L16" i="11" s="1"/>
  <c r="D144" i="11"/>
  <c r="F143" i="11"/>
  <c r="D143" i="11"/>
  <c r="K16" i="11" s="1"/>
  <c r="E141" i="11"/>
  <c r="F140" i="11"/>
  <c r="E140" i="11"/>
  <c r="D140" i="11"/>
  <c r="D141" i="11" s="1"/>
  <c r="E139" i="11"/>
  <c r="L50" i="11" s="1"/>
  <c r="D138" i="11"/>
  <c r="D136" i="11" s="1"/>
  <c r="D11" i="11" s="1"/>
  <c r="D134" i="11"/>
  <c r="F132" i="11"/>
  <c r="D132" i="11"/>
  <c r="G131" i="11"/>
  <c r="G132" i="11" s="1"/>
  <c r="F131" i="11"/>
  <c r="E131" i="11"/>
  <c r="E132" i="11" s="1"/>
  <c r="D131" i="11"/>
  <c r="H130" i="11"/>
  <c r="H131" i="11" s="1"/>
  <c r="H132" i="11" s="1"/>
  <c r="G130" i="11"/>
  <c r="F130" i="11"/>
  <c r="E130" i="11"/>
  <c r="D128" i="11"/>
  <c r="R13" i="11" s="1"/>
  <c r="D127" i="11"/>
  <c r="D135" i="11" s="1"/>
  <c r="K13" i="11" s="1"/>
  <c r="F126" i="11"/>
  <c r="E126" i="11"/>
  <c r="E134" i="11" s="1"/>
  <c r="E124" i="11"/>
  <c r="E12" i="11" s="1"/>
  <c r="D124" i="11"/>
  <c r="D121" i="11"/>
  <c r="D125" i="11" s="1"/>
  <c r="K12" i="11" s="1"/>
  <c r="F120" i="11"/>
  <c r="E120" i="11"/>
  <c r="E121" i="11" s="1"/>
  <c r="E122" i="11" s="1"/>
  <c r="S33" i="11" s="1"/>
  <c r="D118" i="11"/>
  <c r="E117" i="11"/>
  <c r="E125" i="11" s="1"/>
  <c r="L12" i="11" s="1"/>
  <c r="D117" i="11"/>
  <c r="G116" i="11"/>
  <c r="F116" i="11"/>
  <c r="F124" i="11" s="1"/>
  <c r="F12" i="11" s="1"/>
  <c r="E116" i="11"/>
  <c r="D114" i="11"/>
  <c r="D111" i="11"/>
  <c r="D108" i="11"/>
  <c r="D109" i="11" s="1"/>
  <c r="E103" i="11"/>
  <c r="D103" i="11"/>
  <c r="D93" i="11"/>
  <c r="D94" i="11" s="1"/>
  <c r="L84" i="11"/>
  <c r="M84" i="11" s="1"/>
  <c r="F77" i="11"/>
  <c r="G77" i="11" s="1"/>
  <c r="H77" i="11" s="1"/>
  <c r="E77" i="11"/>
  <c r="D77" i="11"/>
  <c r="D79" i="11" s="1"/>
  <c r="D80" i="11" s="1"/>
  <c r="K6" i="11" s="1"/>
  <c r="E76" i="11"/>
  <c r="F76" i="11" s="1"/>
  <c r="G76" i="11" s="1"/>
  <c r="H76" i="11" s="1"/>
  <c r="E75" i="11"/>
  <c r="F70" i="11"/>
  <c r="G70" i="11" s="1"/>
  <c r="H70" i="11" s="1"/>
  <c r="D68" i="11"/>
  <c r="D69" i="11" s="1"/>
  <c r="E67" i="11"/>
  <c r="D67" i="11"/>
  <c r="D65" i="11"/>
  <c r="G64" i="11"/>
  <c r="H64" i="11" s="1"/>
  <c r="E64" i="11"/>
  <c r="F64" i="11" s="1"/>
  <c r="E63" i="11"/>
  <c r="E65" i="11" s="1"/>
  <c r="D63" i="11"/>
  <c r="F61" i="11"/>
  <c r="D61" i="11"/>
  <c r="F60" i="11"/>
  <c r="G60" i="11" s="1"/>
  <c r="E59" i="11"/>
  <c r="E61" i="11" s="1"/>
  <c r="D59" i="11"/>
  <c r="D57" i="11"/>
  <c r="F56" i="11"/>
  <c r="G56" i="11" s="1"/>
  <c r="H56" i="11" s="1"/>
  <c r="D55" i="11"/>
  <c r="L54" i="11"/>
  <c r="M54" i="11" s="1"/>
  <c r="D53" i="11"/>
  <c r="G52" i="11"/>
  <c r="E52" i="11"/>
  <c r="F52" i="11" s="1"/>
  <c r="F68" i="11" s="1"/>
  <c r="D51" i="11"/>
  <c r="F50" i="11"/>
  <c r="E50" i="11"/>
  <c r="H49" i="11"/>
  <c r="G49" i="11"/>
  <c r="F49" i="11"/>
  <c r="F46" i="11"/>
  <c r="G46" i="11" s="1"/>
  <c r="E46" i="11"/>
  <c r="E55" i="11" s="1"/>
  <c r="E57" i="11" s="1"/>
  <c r="E45" i="11"/>
  <c r="E51" i="11" s="1"/>
  <c r="E53" i="11" s="1"/>
  <c r="D45" i="11"/>
  <c r="F44" i="11"/>
  <c r="G44" i="11" s="1"/>
  <c r="H44" i="11" s="1"/>
  <c r="F43" i="11"/>
  <c r="F42" i="11"/>
  <c r="F45" i="11" s="1"/>
  <c r="E42" i="11"/>
  <c r="L33" i="11"/>
  <c r="K33" i="11"/>
  <c r="F33" i="11"/>
  <c r="E33" i="11"/>
  <c r="D33" i="11"/>
  <c r="T31" i="11"/>
  <c r="M31" i="11"/>
  <c r="F31" i="11"/>
  <c r="S30" i="11"/>
  <c r="R30" i="11"/>
  <c r="K30" i="11"/>
  <c r="D30" i="11"/>
  <c r="O20" i="11"/>
  <c r="N20" i="11"/>
  <c r="M20" i="11"/>
  <c r="L20" i="11"/>
  <c r="K20" i="11"/>
  <c r="H20" i="11"/>
  <c r="G20" i="11"/>
  <c r="F20" i="11"/>
  <c r="E20" i="11"/>
  <c r="D20" i="11"/>
  <c r="V16" i="11"/>
  <c r="U16" i="11"/>
  <c r="T16" i="11"/>
  <c r="R16" i="11"/>
  <c r="O16" i="11"/>
  <c r="N16" i="11"/>
  <c r="M16" i="11"/>
  <c r="H16" i="11"/>
  <c r="G16" i="11"/>
  <c r="F16" i="11"/>
  <c r="E16" i="11"/>
  <c r="D16" i="11"/>
  <c r="V15" i="11"/>
  <c r="U15" i="11"/>
  <c r="T15" i="11"/>
  <c r="S15" i="11"/>
  <c r="R15" i="11"/>
  <c r="O15" i="11"/>
  <c r="N15" i="11"/>
  <c r="M15" i="11"/>
  <c r="K15" i="11"/>
  <c r="H15" i="11"/>
  <c r="G15" i="11"/>
  <c r="F15" i="11"/>
  <c r="E15" i="11"/>
  <c r="D15" i="11"/>
  <c r="S14" i="11"/>
  <c r="R14" i="11"/>
  <c r="L14" i="11"/>
  <c r="K14" i="11"/>
  <c r="E13" i="11"/>
  <c r="D13" i="11"/>
  <c r="D12" i="11"/>
  <c r="K11" i="11"/>
  <c r="K10" i="11"/>
  <c r="D9" i="11"/>
  <c r="V6" i="11"/>
  <c r="U6" i="11"/>
  <c r="T6" i="11"/>
  <c r="S6" i="11"/>
  <c r="R6" i="11"/>
  <c r="K82" i="13" l="1"/>
  <c r="M82" i="13" s="1"/>
  <c r="K52" i="13"/>
  <c r="M52" i="13" s="1"/>
  <c r="S31" i="13"/>
  <c r="L31" i="13"/>
  <c r="E31" i="13"/>
  <c r="G67" i="13"/>
  <c r="H50" i="13"/>
  <c r="H67" i="13" s="1"/>
  <c r="H69" i="13" s="1"/>
  <c r="G61" i="13"/>
  <c r="H60" i="13"/>
  <c r="H61" i="13" s="1"/>
  <c r="E80" i="13"/>
  <c r="L6" i="13" s="1"/>
  <c r="E6" i="13"/>
  <c r="K64" i="13"/>
  <c r="E146" i="13"/>
  <c r="L15" i="13" s="1"/>
  <c r="S15" i="13"/>
  <c r="F63" i="13"/>
  <c r="F65" i="13" s="1"/>
  <c r="G43" i="13"/>
  <c r="G46" i="13"/>
  <c r="F55" i="13"/>
  <c r="F57" i="13" s="1"/>
  <c r="G68" i="13"/>
  <c r="H52" i="13"/>
  <c r="H68" i="13" s="1"/>
  <c r="D81" i="13"/>
  <c r="R6" i="13" s="1"/>
  <c r="K81" i="13"/>
  <c r="M81" i="13" s="1"/>
  <c r="S30" i="13"/>
  <c r="K63" i="13"/>
  <c r="K51" i="13"/>
  <c r="M51" i="13" s="1"/>
  <c r="L30" i="13"/>
  <c r="E30" i="13"/>
  <c r="D51" i="13"/>
  <c r="D53" i="13" s="1"/>
  <c r="E42" i="13"/>
  <c r="E45" i="13" s="1"/>
  <c r="F69" i="13"/>
  <c r="R30" i="13"/>
  <c r="K30" i="13"/>
  <c r="D30" i="13"/>
  <c r="F108" i="13"/>
  <c r="F109" i="13" s="1"/>
  <c r="F61" i="13"/>
  <c r="L81" i="13"/>
  <c r="F75" i="13"/>
  <c r="D135" i="13"/>
  <c r="K13" i="13" s="1"/>
  <c r="D128" i="13"/>
  <c r="R13" i="13" s="1"/>
  <c r="D69" i="13"/>
  <c r="E121" i="13"/>
  <c r="F120" i="13"/>
  <c r="L84" i="13"/>
  <c r="M84" i="13" s="1"/>
  <c r="D94" i="13"/>
  <c r="E93" i="13"/>
  <c r="D115" i="13"/>
  <c r="R10" i="13" s="1"/>
  <c r="D111" i="13"/>
  <c r="D9" i="13" s="1"/>
  <c r="D104" i="13"/>
  <c r="D112" i="13" s="1"/>
  <c r="K9" i="13" s="1"/>
  <c r="E103" i="13"/>
  <c r="E124" i="13"/>
  <c r="E12" i="13" s="1"/>
  <c r="L80" i="13"/>
  <c r="E134" i="13"/>
  <c r="E13" i="13" s="1"/>
  <c r="E127" i="13"/>
  <c r="F126" i="13"/>
  <c r="F141" i="13"/>
  <c r="T14" i="13" s="1"/>
  <c r="G140" i="13"/>
  <c r="D139" i="13"/>
  <c r="D14" i="13" s="1"/>
  <c r="F116" i="13"/>
  <c r="E117" i="13"/>
  <c r="D118" i="13"/>
  <c r="R12" i="13" s="1"/>
  <c r="F130" i="13"/>
  <c r="K30" i="12"/>
  <c r="R30" i="12"/>
  <c r="D30" i="12"/>
  <c r="K81" i="12"/>
  <c r="M81" i="12" s="1"/>
  <c r="K63" i="12"/>
  <c r="E30" i="12"/>
  <c r="K51" i="12"/>
  <c r="M51" i="12" s="1"/>
  <c r="L30" i="12"/>
  <c r="S30" i="12"/>
  <c r="G67" i="12"/>
  <c r="H50" i="12"/>
  <c r="H67" i="12" s="1"/>
  <c r="S11" i="12"/>
  <c r="E136" i="12"/>
  <c r="E11" i="12" s="1"/>
  <c r="K82" i="12"/>
  <c r="K52" i="12"/>
  <c r="M52" i="12" s="1"/>
  <c r="S31" i="12"/>
  <c r="L31" i="12"/>
  <c r="F67" i="12"/>
  <c r="F69" i="12" s="1"/>
  <c r="D80" i="12"/>
  <c r="K6" i="12" s="1"/>
  <c r="D6" i="12"/>
  <c r="E108" i="12"/>
  <c r="E109" i="12" s="1"/>
  <c r="G141" i="12"/>
  <c r="U14" i="12" s="1"/>
  <c r="H140" i="12"/>
  <c r="G139" i="12"/>
  <c r="G14" i="12" s="1"/>
  <c r="N14" i="12"/>
  <c r="E118" i="12"/>
  <c r="E125" i="12"/>
  <c r="L12" i="12" s="1"/>
  <c r="D122" i="12"/>
  <c r="R33" i="12" s="1"/>
  <c r="K33" i="12"/>
  <c r="D125" i="12"/>
  <c r="K12" i="12" s="1"/>
  <c r="D118" i="12"/>
  <c r="L80" i="12"/>
  <c r="F130" i="12"/>
  <c r="E131" i="12"/>
  <c r="E132" i="12" s="1"/>
  <c r="D51" i="12"/>
  <c r="D53" i="12" s="1"/>
  <c r="E42" i="12"/>
  <c r="E45" i="12" s="1"/>
  <c r="G52" i="12"/>
  <c r="F61" i="12"/>
  <c r="G60" i="12"/>
  <c r="F118" i="12"/>
  <c r="F138" i="12"/>
  <c r="M11" i="12"/>
  <c r="E146" i="12"/>
  <c r="L15" i="12" s="1"/>
  <c r="S15" i="12"/>
  <c r="G46" i="12"/>
  <c r="F55" i="12"/>
  <c r="F57" i="12" s="1"/>
  <c r="E79" i="12"/>
  <c r="F75" i="12"/>
  <c r="F77" i="12"/>
  <c r="G77" i="12" s="1"/>
  <c r="H77" i="12" s="1"/>
  <c r="L82" i="12"/>
  <c r="D94" i="12"/>
  <c r="E93" i="12"/>
  <c r="D95" i="12"/>
  <c r="G117" i="12"/>
  <c r="H116" i="12"/>
  <c r="E121" i="12"/>
  <c r="F120" i="12"/>
  <c r="L84" i="12"/>
  <c r="M84" i="12" s="1"/>
  <c r="E33" i="12"/>
  <c r="L54" i="12"/>
  <c r="M54" i="12" s="1"/>
  <c r="F139" i="12"/>
  <c r="F14" i="12" s="1"/>
  <c r="D111" i="12"/>
  <c r="D9" i="12" s="1"/>
  <c r="D104" i="12"/>
  <c r="E103" i="12"/>
  <c r="D135" i="12"/>
  <c r="K13" i="12" s="1"/>
  <c r="D128" i="12"/>
  <c r="R13" i="12" s="1"/>
  <c r="D115" i="12"/>
  <c r="E134" i="12"/>
  <c r="E13" i="12" s="1"/>
  <c r="E127" i="12"/>
  <c r="F126" i="12"/>
  <c r="E139" i="12"/>
  <c r="E14" i="12" s="1"/>
  <c r="E141" i="12"/>
  <c r="S14" i="12" s="1"/>
  <c r="G68" i="11"/>
  <c r="H52" i="11"/>
  <c r="H68" i="11" s="1"/>
  <c r="K51" i="11"/>
  <c r="K81" i="11"/>
  <c r="L30" i="11"/>
  <c r="K63" i="11"/>
  <c r="E30" i="11"/>
  <c r="D72" i="11"/>
  <c r="K29" i="11"/>
  <c r="R31" i="11"/>
  <c r="K31" i="11"/>
  <c r="D102" i="11"/>
  <c r="K8" i="11" s="1"/>
  <c r="D98" i="11"/>
  <c r="D6" i="11"/>
  <c r="R29" i="11"/>
  <c r="D31" i="11"/>
  <c r="G42" i="11"/>
  <c r="F51" i="11"/>
  <c r="F53" i="11" s="1"/>
  <c r="H46" i="11"/>
  <c r="H55" i="11" s="1"/>
  <c r="H57" i="11" s="1"/>
  <c r="G55" i="11"/>
  <c r="G57" i="11" s="1"/>
  <c r="L81" i="11"/>
  <c r="F75" i="11"/>
  <c r="L51" i="11"/>
  <c r="E115" i="11"/>
  <c r="L10" i="11"/>
  <c r="F138" i="11"/>
  <c r="T11" i="11" s="1"/>
  <c r="M11" i="11"/>
  <c r="F63" i="11"/>
  <c r="F65" i="11" s="1"/>
  <c r="G43" i="11"/>
  <c r="F67" i="11"/>
  <c r="F69" i="11" s="1"/>
  <c r="G50" i="11"/>
  <c r="K82" i="11"/>
  <c r="S31" i="11"/>
  <c r="K52" i="11"/>
  <c r="M52" i="11" s="1"/>
  <c r="L31" i="11"/>
  <c r="E31" i="11"/>
  <c r="E79" i="11"/>
  <c r="G140" i="11"/>
  <c r="R11" i="11"/>
  <c r="E14" i="11"/>
  <c r="S16" i="11"/>
  <c r="E68" i="11"/>
  <c r="E69" i="11" s="1"/>
  <c r="L82" i="11"/>
  <c r="L52" i="11"/>
  <c r="L80" i="11"/>
  <c r="D115" i="11"/>
  <c r="R10" i="11" s="1"/>
  <c r="F117" i="11"/>
  <c r="E138" i="11"/>
  <c r="F55" i="11"/>
  <c r="F57" i="11" s="1"/>
  <c r="D95" i="11"/>
  <c r="E111" i="11"/>
  <c r="E9" i="11" s="1"/>
  <c r="E104" i="11"/>
  <c r="E112" i="11" s="1"/>
  <c r="L9" i="11" s="1"/>
  <c r="F103" i="11"/>
  <c r="G117" i="11"/>
  <c r="H116" i="11"/>
  <c r="F121" i="11"/>
  <c r="G120" i="11"/>
  <c r="G124" i="11"/>
  <c r="G12" i="11" s="1"/>
  <c r="M14" i="11"/>
  <c r="G61" i="11"/>
  <c r="H60" i="11"/>
  <c r="H61" i="11" s="1"/>
  <c r="E93" i="11"/>
  <c r="E118" i="11"/>
  <c r="S12" i="11" s="1"/>
  <c r="F134" i="11"/>
  <c r="F13" i="11" s="1"/>
  <c r="F127" i="11"/>
  <c r="G126" i="11"/>
  <c r="D139" i="11"/>
  <c r="D14" i="11" s="1"/>
  <c r="F141" i="11"/>
  <c r="T14" i="11" s="1"/>
  <c r="D105" i="11"/>
  <c r="R9" i="11" s="1"/>
  <c r="D104" i="11"/>
  <c r="D112" i="11" s="1"/>
  <c r="K9" i="11" s="1"/>
  <c r="D122" i="11"/>
  <c r="E127" i="11"/>
  <c r="E135" i="13" l="1"/>
  <c r="L13" i="13" s="1"/>
  <c r="E128" i="13"/>
  <c r="S13" i="13" s="1"/>
  <c r="E115" i="13"/>
  <c r="S10" i="13" s="1"/>
  <c r="L10" i="13"/>
  <c r="F79" i="13"/>
  <c r="G75" i="13"/>
  <c r="L63" i="13"/>
  <c r="M30" i="13"/>
  <c r="F30" i="13"/>
  <c r="T30" i="13"/>
  <c r="E118" i="13"/>
  <c r="E125" i="13"/>
  <c r="L12" i="13" s="1"/>
  <c r="G55" i="13"/>
  <c r="G57" i="13" s="1"/>
  <c r="H46" i="13"/>
  <c r="H55" i="13" s="1"/>
  <c r="H57" i="13" s="1"/>
  <c r="E137" i="13"/>
  <c r="E11" i="13"/>
  <c r="G116" i="13"/>
  <c r="F124" i="13"/>
  <c r="F12" i="13" s="1"/>
  <c r="F117" i="13"/>
  <c r="F139" i="13"/>
  <c r="F14" i="13" s="1"/>
  <c r="D113" i="13"/>
  <c r="D10" i="13" s="1"/>
  <c r="T31" i="13"/>
  <c r="M31" i="13"/>
  <c r="F31" i="13"/>
  <c r="D72" i="13"/>
  <c r="R29" i="13"/>
  <c r="K29" i="13"/>
  <c r="D29" i="13"/>
  <c r="G63" i="13"/>
  <c r="G65" i="13" s="1"/>
  <c r="H43" i="13"/>
  <c r="H63" i="13" s="1"/>
  <c r="H65" i="13" s="1"/>
  <c r="H31" i="13"/>
  <c r="V31" i="13"/>
  <c r="O31" i="13"/>
  <c r="G69" i="13"/>
  <c r="G141" i="13"/>
  <c r="U14" i="13" s="1"/>
  <c r="H140" i="13"/>
  <c r="N14" i="13"/>
  <c r="E111" i="13"/>
  <c r="E9" i="13" s="1"/>
  <c r="E104" i="13"/>
  <c r="E112" i="13" s="1"/>
  <c r="L9" i="13" s="1"/>
  <c r="F103" i="13"/>
  <c r="D98" i="13"/>
  <c r="E122" i="13"/>
  <c r="S33" i="13" s="1"/>
  <c r="L33" i="13"/>
  <c r="D95" i="13"/>
  <c r="F42" i="13"/>
  <c r="F45" i="13" s="1"/>
  <c r="E51" i="13"/>
  <c r="E53" i="13" s="1"/>
  <c r="E81" i="13"/>
  <c r="S6" i="13" s="1"/>
  <c r="F131" i="13"/>
  <c r="F132" i="13" s="1"/>
  <c r="G130" i="13"/>
  <c r="F134" i="13"/>
  <c r="F13" i="13" s="1"/>
  <c r="F127" i="13"/>
  <c r="G126" i="13"/>
  <c r="D105" i="13"/>
  <c r="R9" i="13" s="1"/>
  <c r="E94" i="13"/>
  <c r="F93" i="13"/>
  <c r="F121" i="13"/>
  <c r="G120" i="13"/>
  <c r="F33" i="13"/>
  <c r="G108" i="13"/>
  <c r="G109" i="13" s="1"/>
  <c r="H108" i="13"/>
  <c r="H109" i="13" s="1"/>
  <c r="N31" i="13"/>
  <c r="G31" i="13"/>
  <c r="U31" i="13"/>
  <c r="H141" i="12"/>
  <c r="V14" i="12" s="1"/>
  <c r="H139" i="12"/>
  <c r="H14" i="12" s="1"/>
  <c r="O14" i="12"/>
  <c r="G118" i="12"/>
  <c r="E94" i="12"/>
  <c r="F93" i="12"/>
  <c r="K64" i="12"/>
  <c r="E80" i="12"/>
  <c r="L6" i="12" s="1"/>
  <c r="E6" i="12"/>
  <c r="F31" i="12"/>
  <c r="T31" i="12"/>
  <c r="M31" i="12"/>
  <c r="L50" i="12"/>
  <c r="R12" i="12"/>
  <c r="S12" i="12"/>
  <c r="E128" i="12"/>
  <c r="S13" i="12" s="1"/>
  <c r="E135" i="12"/>
  <c r="L13" i="12" s="1"/>
  <c r="G75" i="12"/>
  <c r="F79" i="12"/>
  <c r="E115" i="12"/>
  <c r="S10" i="12" s="1"/>
  <c r="L10" i="12"/>
  <c r="G120" i="12"/>
  <c r="F124" i="12"/>
  <c r="F12" i="12" s="1"/>
  <c r="F121" i="12"/>
  <c r="F33" i="12"/>
  <c r="D98" i="12"/>
  <c r="D102" i="12"/>
  <c r="K8" i="12" s="1"/>
  <c r="L63" i="12"/>
  <c r="F30" i="12"/>
  <c r="T30" i="12"/>
  <c r="M30" i="12"/>
  <c r="H52" i="12"/>
  <c r="H68" i="12" s="1"/>
  <c r="H69" i="12" s="1"/>
  <c r="G68" i="12"/>
  <c r="M82" i="12"/>
  <c r="G69" i="12"/>
  <c r="D112" i="12"/>
  <c r="K9" i="12" s="1"/>
  <c r="D105" i="12"/>
  <c r="R9" i="12" s="1"/>
  <c r="H117" i="12"/>
  <c r="F136" i="12"/>
  <c r="F11" i="12" s="1"/>
  <c r="T11" i="12"/>
  <c r="G61" i="12"/>
  <c r="H60" i="12"/>
  <c r="H61" i="12" s="1"/>
  <c r="D72" i="12"/>
  <c r="D29" i="12"/>
  <c r="R29" i="12"/>
  <c r="K29" i="12"/>
  <c r="F127" i="12"/>
  <c r="F134" i="12"/>
  <c r="F13" i="12" s="1"/>
  <c r="G126" i="12"/>
  <c r="D113" i="12"/>
  <c r="D10" i="12" s="1"/>
  <c r="R10" i="12"/>
  <c r="F103" i="12"/>
  <c r="E105" i="12"/>
  <c r="S9" i="12" s="1"/>
  <c r="E104" i="12"/>
  <c r="E112" i="12" s="1"/>
  <c r="L9" i="12" s="1"/>
  <c r="E111" i="12"/>
  <c r="E9" i="12" s="1"/>
  <c r="E122" i="12"/>
  <c r="S33" i="12" s="1"/>
  <c r="L33" i="12"/>
  <c r="G55" i="12"/>
  <c r="G57" i="12" s="1"/>
  <c r="H46" i="12"/>
  <c r="H55" i="12" s="1"/>
  <c r="H57" i="12" s="1"/>
  <c r="N11" i="12"/>
  <c r="G138" i="12"/>
  <c r="U11" i="12" s="1"/>
  <c r="F42" i="12"/>
  <c r="F45" i="12" s="1"/>
  <c r="E51" i="12"/>
  <c r="E53" i="12" s="1"/>
  <c r="G130" i="12"/>
  <c r="F131" i="12"/>
  <c r="F132" i="12" s="1"/>
  <c r="F108" i="12"/>
  <c r="F109" i="12" s="1"/>
  <c r="F136" i="11"/>
  <c r="F11" i="11" s="1"/>
  <c r="G134" i="11"/>
  <c r="G13" i="11" s="1"/>
  <c r="G127" i="11"/>
  <c r="H126" i="11"/>
  <c r="D113" i="11"/>
  <c r="D10" i="11" s="1"/>
  <c r="H117" i="11"/>
  <c r="E105" i="11"/>
  <c r="S9" i="11" s="1"/>
  <c r="F125" i="11"/>
  <c r="M12" i="11" s="1"/>
  <c r="F118" i="11"/>
  <c r="K80" i="11"/>
  <c r="M10" i="11"/>
  <c r="F115" i="11"/>
  <c r="T10" i="11" s="1"/>
  <c r="F113" i="11"/>
  <c r="F10" i="11" s="1"/>
  <c r="G45" i="11"/>
  <c r="D99" i="11"/>
  <c r="D97" i="11" s="1"/>
  <c r="D101" i="11" s="1"/>
  <c r="E72" i="11"/>
  <c r="F135" i="11"/>
  <c r="M13" i="11" s="1"/>
  <c r="F128" i="11"/>
  <c r="T13" i="11" s="1"/>
  <c r="E94" i="11"/>
  <c r="F93" i="11"/>
  <c r="E95" i="11"/>
  <c r="G118" i="11"/>
  <c r="F111" i="11"/>
  <c r="F9" i="11" s="1"/>
  <c r="G103" i="11"/>
  <c r="F104" i="11"/>
  <c r="F105" i="11"/>
  <c r="G141" i="11"/>
  <c r="U14" i="11" s="1"/>
  <c r="H140" i="11"/>
  <c r="N14" i="11"/>
  <c r="E80" i="11"/>
  <c r="L6" i="11" s="1"/>
  <c r="E6" i="11"/>
  <c r="K64" i="11"/>
  <c r="S29" i="11"/>
  <c r="H43" i="11"/>
  <c r="H63" i="11" s="1"/>
  <c r="H65" i="11" s="1"/>
  <c r="G63" i="11"/>
  <c r="G65" i="11" s="1"/>
  <c r="S10" i="11"/>
  <c r="E113" i="11"/>
  <c r="M63" i="11"/>
  <c r="D73" i="11"/>
  <c r="D5" i="11"/>
  <c r="M81" i="11"/>
  <c r="V31" i="11"/>
  <c r="O31" i="11"/>
  <c r="H31" i="11"/>
  <c r="H120" i="11"/>
  <c r="G121" i="11"/>
  <c r="G125" i="11" s="1"/>
  <c r="N12" i="11" s="1"/>
  <c r="G33" i="11"/>
  <c r="F108" i="11"/>
  <c r="F109" i="11" s="1"/>
  <c r="L63" i="11"/>
  <c r="F30" i="11"/>
  <c r="T30" i="11"/>
  <c r="M30" i="11"/>
  <c r="F139" i="11"/>
  <c r="F14" i="11" s="1"/>
  <c r="M82" i="11"/>
  <c r="E29" i="11"/>
  <c r="G138" i="11"/>
  <c r="U11" i="11" s="1"/>
  <c r="N11" i="11"/>
  <c r="N63" i="11"/>
  <c r="M51" i="11"/>
  <c r="E135" i="11"/>
  <c r="L13" i="11" s="1"/>
  <c r="E128" i="11"/>
  <c r="S13" i="11" s="1"/>
  <c r="R33" i="11"/>
  <c r="R12" i="11"/>
  <c r="G31" i="11"/>
  <c r="U31" i="11"/>
  <c r="N31" i="11"/>
  <c r="M33" i="11"/>
  <c r="F122" i="11"/>
  <c r="T33" i="11" s="1"/>
  <c r="S11" i="11"/>
  <c r="E136" i="11"/>
  <c r="E11" i="11" s="1"/>
  <c r="G67" i="11"/>
  <c r="G69" i="11" s="1"/>
  <c r="H50" i="11"/>
  <c r="H67" i="11" s="1"/>
  <c r="H69" i="11" s="1"/>
  <c r="K50" i="11"/>
  <c r="F79" i="11"/>
  <c r="G75" i="11"/>
  <c r="F72" i="11"/>
  <c r="T29" i="11"/>
  <c r="M29" i="11"/>
  <c r="F29" i="11"/>
  <c r="D29" i="11"/>
  <c r="B9" i="6"/>
  <c r="B37" i="5"/>
  <c r="E81" i="4" s="1"/>
  <c r="E82" i="4" s="1"/>
  <c r="B28" i="5"/>
  <c r="B22" i="5"/>
  <c r="B16" i="5"/>
  <c r="B11" i="5"/>
  <c r="B38" i="5" s="1"/>
  <c r="V87" i="4"/>
  <c r="W37" i="4" s="1"/>
  <c r="Y86" i="4"/>
  <c r="X86" i="4"/>
  <c r="W86" i="4"/>
  <c r="V86" i="4"/>
  <c r="Y82" i="4"/>
  <c r="X82" i="4"/>
  <c r="W82" i="4"/>
  <c r="V82" i="4"/>
  <c r="F80" i="4"/>
  <c r="Q78" i="4"/>
  <c r="G78" i="4"/>
  <c r="A38" i="4"/>
  <c r="G37" i="4"/>
  <c r="Q37" i="4"/>
  <c r="D37" i="4"/>
  <c r="S35" i="4"/>
  <c r="S37" i="4" s="1"/>
  <c r="S79" i="4" s="1"/>
  <c r="E31" i="4"/>
  <c r="E30" i="4"/>
  <c r="K27" i="4"/>
  <c r="N78" i="4" s="1"/>
  <c r="K24" i="4"/>
  <c r="E23" i="4"/>
  <c r="E22" i="4"/>
  <c r="E21" i="4"/>
  <c r="E20" i="4"/>
  <c r="E19" i="4"/>
  <c r="E18" i="4"/>
  <c r="K17" i="4"/>
  <c r="M68" i="4" s="1"/>
  <c r="E16" i="4"/>
  <c r="E10" i="4"/>
  <c r="K10" i="4" s="1"/>
  <c r="E9" i="4"/>
  <c r="K9" i="4" s="1"/>
  <c r="E8" i="4"/>
  <c r="K8" i="4" s="1"/>
  <c r="E7" i="4"/>
  <c r="K7" i="4" s="1"/>
  <c r="K29" i="4" s="1"/>
  <c r="H14" i="3"/>
  <c r="H13" i="3"/>
  <c r="H12" i="3"/>
  <c r="H10" i="3"/>
  <c r="H9" i="3"/>
  <c r="H8" i="3"/>
  <c r="E4" i="3"/>
  <c r="V83" i="4" s="1"/>
  <c r="I88" i="4" l="1"/>
  <c r="X37" i="4"/>
  <c r="D6" i="3" s="1"/>
  <c r="Y37" i="4"/>
  <c r="M71" i="4"/>
  <c r="I84" i="4"/>
  <c r="E17" i="4"/>
  <c r="F52" i="4" s="1"/>
  <c r="M77" i="4"/>
  <c r="M41" i="4"/>
  <c r="N37" i="4"/>
  <c r="E11" i="4"/>
  <c r="K6" i="4"/>
  <c r="V37" i="4"/>
  <c r="E113" i="13"/>
  <c r="E98" i="13"/>
  <c r="E102" i="13" s="1"/>
  <c r="G134" i="13"/>
  <c r="G13" i="13" s="1"/>
  <c r="G127" i="13"/>
  <c r="H126" i="13"/>
  <c r="F122" i="13"/>
  <c r="T33" i="13" s="1"/>
  <c r="M33" i="13"/>
  <c r="E95" i="13"/>
  <c r="F135" i="13"/>
  <c r="M13" i="13" s="1"/>
  <c r="F128" i="13"/>
  <c r="T13" i="13" s="1"/>
  <c r="D99" i="13"/>
  <c r="H141" i="13"/>
  <c r="V14" i="13" s="1"/>
  <c r="O14" i="13"/>
  <c r="E138" i="13"/>
  <c r="S11" i="13" s="1"/>
  <c r="L11" i="13"/>
  <c r="L83" i="13"/>
  <c r="E10" i="13"/>
  <c r="K80" i="13"/>
  <c r="E72" i="13"/>
  <c r="L29" i="13"/>
  <c r="E29" i="13"/>
  <c r="S29" i="13"/>
  <c r="K50" i="13"/>
  <c r="R8" i="13"/>
  <c r="D102" i="13"/>
  <c r="E105" i="13"/>
  <c r="S9" i="13" s="1"/>
  <c r="G124" i="13"/>
  <c r="G12" i="13" s="1"/>
  <c r="G117" i="13"/>
  <c r="H116" i="13"/>
  <c r="N63" i="13"/>
  <c r="V30" i="13"/>
  <c r="S12" i="13"/>
  <c r="F115" i="13"/>
  <c r="T10" i="13" s="1"/>
  <c r="M10" i="13"/>
  <c r="F94" i="13"/>
  <c r="G93" i="13"/>
  <c r="F95" i="13"/>
  <c r="G131" i="13"/>
  <c r="G132" i="13" s="1"/>
  <c r="H130" i="13"/>
  <c r="H131" i="13" s="1"/>
  <c r="H132" i="13" s="1"/>
  <c r="G42" i="13"/>
  <c r="G45" i="13" s="1"/>
  <c r="F51" i="13"/>
  <c r="F53" i="13" s="1"/>
  <c r="F111" i="13"/>
  <c r="F9" i="13" s="1"/>
  <c r="F104" i="13"/>
  <c r="F112" i="13" s="1"/>
  <c r="M9" i="13" s="1"/>
  <c r="G103" i="13"/>
  <c r="F105" i="13"/>
  <c r="T9" i="13" s="1"/>
  <c r="G139" i="13"/>
  <c r="G14" i="13" s="1"/>
  <c r="F137" i="13"/>
  <c r="F11" i="13"/>
  <c r="G30" i="13"/>
  <c r="U30" i="13"/>
  <c r="N30" i="13"/>
  <c r="M63" i="13"/>
  <c r="G79" i="13"/>
  <c r="H75" i="13"/>
  <c r="H79" i="13" s="1"/>
  <c r="G121" i="13"/>
  <c r="H120" i="13"/>
  <c r="G33" i="13"/>
  <c r="D73" i="13"/>
  <c r="D5" i="13"/>
  <c r="F125" i="13"/>
  <c r="M12" i="13" s="1"/>
  <c r="F118" i="13"/>
  <c r="T12" i="13" s="1"/>
  <c r="F80" i="13"/>
  <c r="M6" i="13" s="1"/>
  <c r="L64" i="13"/>
  <c r="F6" i="13"/>
  <c r="E113" i="12"/>
  <c r="G134" i="12"/>
  <c r="G13" i="12" s="1"/>
  <c r="H126" i="12"/>
  <c r="G127" i="12"/>
  <c r="U31" i="12"/>
  <c r="N31" i="12"/>
  <c r="G31" i="12"/>
  <c r="E10" i="12"/>
  <c r="L83" i="12"/>
  <c r="E98" i="12"/>
  <c r="E102" i="12"/>
  <c r="L8" i="12" s="1"/>
  <c r="M63" i="12"/>
  <c r="U30" i="12"/>
  <c r="N30" i="12"/>
  <c r="G30" i="12"/>
  <c r="F104" i="12"/>
  <c r="F112" i="12" s="1"/>
  <c r="M9" i="12" s="1"/>
  <c r="F111" i="12"/>
  <c r="F9" i="12" s="1"/>
  <c r="G103" i="12"/>
  <c r="E72" i="12"/>
  <c r="K80" i="12"/>
  <c r="K50" i="12"/>
  <c r="E29" i="12"/>
  <c r="L29" i="12"/>
  <c r="S29" i="12"/>
  <c r="H138" i="12"/>
  <c r="V11" i="12" s="1"/>
  <c r="O11" i="12"/>
  <c r="F128" i="12"/>
  <c r="T13" i="12" s="1"/>
  <c r="F135" i="12"/>
  <c r="M13" i="12" s="1"/>
  <c r="D73" i="12"/>
  <c r="D5" i="12"/>
  <c r="D99" i="12"/>
  <c r="R8" i="12" s="1"/>
  <c r="D97" i="12"/>
  <c r="D101" i="12" s="1"/>
  <c r="H120" i="12"/>
  <c r="G121" i="12"/>
  <c r="G33" i="12"/>
  <c r="G124" i="12"/>
  <c r="G12" i="12" s="1"/>
  <c r="N63" i="12"/>
  <c r="V30" i="12"/>
  <c r="F122" i="12"/>
  <c r="M33" i="12"/>
  <c r="F125" i="12"/>
  <c r="M12" i="12" s="1"/>
  <c r="H75" i="12"/>
  <c r="H79" i="12" s="1"/>
  <c r="G79" i="12"/>
  <c r="G131" i="12"/>
  <c r="G132" i="12" s="1"/>
  <c r="H130" i="12"/>
  <c r="H131" i="12" s="1"/>
  <c r="H132" i="12" s="1"/>
  <c r="H118" i="12"/>
  <c r="E95" i="12"/>
  <c r="H108" i="12"/>
  <c r="H109" i="12" s="1"/>
  <c r="G108" i="12"/>
  <c r="G109" i="12" s="1"/>
  <c r="F51" i="12"/>
  <c r="F53" i="12" s="1"/>
  <c r="G42" i="12"/>
  <c r="G45" i="12" s="1"/>
  <c r="G136" i="12"/>
  <c r="G11" i="12" s="1"/>
  <c r="V31" i="12"/>
  <c r="O31" i="12"/>
  <c r="H31" i="12"/>
  <c r="F115" i="12"/>
  <c r="T10" i="12" s="1"/>
  <c r="M10" i="12"/>
  <c r="F6" i="12"/>
  <c r="F80" i="12"/>
  <c r="M6" i="12" s="1"/>
  <c r="L64" i="12"/>
  <c r="G93" i="12"/>
  <c r="F94" i="12"/>
  <c r="D8" i="11"/>
  <c r="F73" i="11"/>
  <c r="F5" i="11"/>
  <c r="H138" i="11"/>
  <c r="V11" i="11" s="1"/>
  <c r="O11" i="11"/>
  <c r="D74" i="11"/>
  <c r="R5" i="11" s="1"/>
  <c r="K5" i="11"/>
  <c r="F112" i="11"/>
  <c r="M9" i="11" s="1"/>
  <c r="E98" i="11"/>
  <c r="G115" i="11"/>
  <c r="U10" i="11" s="1"/>
  <c r="N10" i="11"/>
  <c r="M80" i="11"/>
  <c r="R8" i="11"/>
  <c r="H75" i="11"/>
  <c r="G79" i="11"/>
  <c r="N33" i="11"/>
  <c r="G122" i="11"/>
  <c r="U33" i="11" s="1"/>
  <c r="G30" i="11"/>
  <c r="E10" i="11"/>
  <c r="L83" i="11"/>
  <c r="G111" i="11"/>
  <c r="G9" i="11" s="1"/>
  <c r="G104" i="11"/>
  <c r="G105" i="11"/>
  <c r="H103" i="11"/>
  <c r="H127" i="11"/>
  <c r="H134" i="11"/>
  <c r="H13" i="11" s="1"/>
  <c r="L64" i="11"/>
  <c r="F80" i="11"/>
  <c r="M6" i="11" s="1"/>
  <c r="F6" i="11"/>
  <c r="G136" i="11"/>
  <c r="G11" i="11" s="1"/>
  <c r="G108" i="11"/>
  <c r="G109" i="11" s="1"/>
  <c r="H108" i="11"/>
  <c r="H109" i="11" s="1"/>
  <c r="H121" i="11"/>
  <c r="H33" i="11"/>
  <c r="N30" i="11"/>
  <c r="G139" i="11"/>
  <c r="G14" i="11" s="1"/>
  <c r="T12" i="11"/>
  <c r="H118" i="11"/>
  <c r="H125" i="11"/>
  <c r="O12" i="11" s="1"/>
  <c r="G135" i="11"/>
  <c r="N13" i="11" s="1"/>
  <c r="G128" i="11"/>
  <c r="U13" i="11" s="1"/>
  <c r="L29" i="11"/>
  <c r="M50" i="11"/>
  <c r="U30" i="11"/>
  <c r="H141" i="11"/>
  <c r="V14" i="11" s="1"/>
  <c r="H139" i="11"/>
  <c r="H14" i="11" s="1"/>
  <c r="O14" i="11"/>
  <c r="T9" i="11"/>
  <c r="U12" i="11"/>
  <c r="G93" i="11"/>
  <c r="F94" i="11"/>
  <c r="F95" i="11"/>
  <c r="E73" i="11"/>
  <c r="E5" i="11"/>
  <c r="G51" i="11"/>
  <c r="G53" i="11" s="1"/>
  <c r="H42" i="11"/>
  <c r="H45" i="11" s="1"/>
  <c r="H51" i="11" s="1"/>
  <c r="H53" i="11" s="1"/>
  <c r="H124" i="11"/>
  <c r="H12" i="11" s="1"/>
  <c r="A39" i="4"/>
  <c r="D38" i="4"/>
  <c r="P38" i="4"/>
  <c r="C38" i="4"/>
  <c r="F48" i="4"/>
  <c r="F39" i="4"/>
  <c r="F69" i="4"/>
  <c r="F60" i="4"/>
  <c r="B38" i="4"/>
  <c r="P78" i="4"/>
  <c r="P37" i="4"/>
  <c r="E29" i="4"/>
  <c r="W77" i="4"/>
  <c r="Y77" i="4"/>
  <c r="X77" i="4"/>
  <c r="E6" i="3" s="1"/>
  <c r="F6" i="3" s="1"/>
  <c r="V77" i="4"/>
  <c r="F4" i="3"/>
  <c r="F8" i="3" s="1"/>
  <c r="T37" i="4"/>
  <c r="T79" i="4" s="1"/>
  <c r="M45" i="4"/>
  <c r="M49" i="4"/>
  <c r="M53" i="4"/>
  <c r="M61" i="4"/>
  <c r="M74" i="4"/>
  <c r="M73" i="4"/>
  <c r="M70" i="4"/>
  <c r="M65" i="4"/>
  <c r="M62" i="4"/>
  <c r="M60" i="4"/>
  <c r="M58" i="4"/>
  <c r="M56" i="4"/>
  <c r="M54" i="4"/>
  <c r="M52" i="4"/>
  <c r="M50" i="4"/>
  <c r="M48" i="4"/>
  <c r="M46" i="4"/>
  <c r="M44" i="4"/>
  <c r="M42" i="4"/>
  <c r="M40" i="4"/>
  <c r="M38" i="4"/>
  <c r="M78" i="4"/>
  <c r="M75" i="4"/>
  <c r="M72" i="4"/>
  <c r="M67" i="4"/>
  <c r="M64" i="4"/>
  <c r="M37" i="4"/>
  <c r="F38" i="4"/>
  <c r="F42" i="4"/>
  <c r="F54" i="4"/>
  <c r="F58" i="4"/>
  <c r="M63" i="4"/>
  <c r="M76" i="4"/>
  <c r="M39" i="4"/>
  <c r="M57" i="4"/>
  <c r="F78" i="4"/>
  <c r="F76" i="4"/>
  <c r="F70" i="4"/>
  <c r="F68" i="4"/>
  <c r="F62" i="4"/>
  <c r="F71" i="4"/>
  <c r="F65" i="4"/>
  <c r="F61" i="4"/>
  <c r="F55" i="4"/>
  <c r="F53" i="4"/>
  <c r="F47" i="4"/>
  <c r="F45" i="4"/>
  <c r="J78" i="4"/>
  <c r="J37" i="4"/>
  <c r="F41" i="4"/>
  <c r="M43" i="4"/>
  <c r="M47" i="4"/>
  <c r="M51" i="4"/>
  <c r="M55" i="4"/>
  <c r="M59" i="4"/>
  <c r="M66" i="4"/>
  <c r="F67" i="4"/>
  <c r="M69" i="4"/>
  <c r="AB82" i="4"/>
  <c r="AB86" i="4"/>
  <c r="F37" i="4" l="1"/>
  <c r="F49" i="4"/>
  <c r="F57" i="4"/>
  <c r="F73" i="4"/>
  <c r="F64" i="4"/>
  <c r="F72" i="4"/>
  <c r="F50" i="4"/>
  <c r="F56" i="4"/>
  <c r="F40" i="4"/>
  <c r="F43" i="4"/>
  <c r="F51" i="4"/>
  <c r="F59" i="4"/>
  <c r="F63" i="4"/>
  <c r="F66" i="4"/>
  <c r="F74" i="4"/>
  <c r="F46" i="4"/>
  <c r="F77" i="4"/>
  <c r="F44" i="4"/>
  <c r="F75" i="4"/>
  <c r="V88" i="4"/>
  <c r="E5" i="3" s="1"/>
  <c r="D82" i="13" s="1"/>
  <c r="E82" i="13" s="1"/>
  <c r="F82" i="13" s="1"/>
  <c r="G82" i="13" s="1"/>
  <c r="H82" i="13" s="1"/>
  <c r="F88" i="4"/>
  <c r="E88" i="4" s="1"/>
  <c r="V84" i="4"/>
  <c r="F113" i="13"/>
  <c r="F10" i="13" s="1"/>
  <c r="L8" i="13"/>
  <c r="N64" i="13"/>
  <c r="H80" i="13"/>
  <c r="O6" i="13" s="1"/>
  <c r="H6" i="13"/>
  <c r="F138" i="13"/>
  <c r="T11" i="13" s="1"/>
  <c r="M11" i="13"/>
  <c r="G105" i="13"/>
  <c r="U9" i="13" s="1"/>
  <c r="G111" i="13"/>
  <c r="G9" i="13" s="1"/>
  <c r="G104" i="13"/>
  <c r="G112" i="13" s="1"/>
  <c r="N9" i="13" s="1"/>
  <c r="H103" i="13"/>
  <c r="H42" i="13"/>
  <c r="H45" i="13" s="1"/>
  <c r="H51" i="13" s="1"/>
  <c r="H53" i="13" s="1"/>
  <c r="G51" i="13"/>
  <c r="G53" i="13" s="1"/>
  <c r="O30" i="13"/>
  <c r="G125" i="13"/>
  <c r="N12" i="13" s="1"/>
  <c r="G118" i="13"/>
  <c r="U12" i="13" s="1"/>
  <c r="M50" i="13"/>
  <c r="E73" i="13"/>
  <c r="E5" i="13"/>
  <c r="G128" i="13"/>
  <c r="U13" i="13" s="1"/>
  <c r="G135" i="13"/>
  <c r="N13" i="13" s="1"/>
  <c r="H33" i="13"/>
  <c r="H121" i="13"/>
  <c r="G80" i="13"/>
  <c r="N6" i="13" s="1"/>
  <c r="M64" i="13"/>
  <c r="G6" i="13"/>
  <c r="G94" i="13"/>
  <c r="H93" i="13"/>
  <c r="G115" i="13"/>
  <c r="U10" i="13" s="1"/>
  <c r="N10" i="13"/>
  <c r="H30" i="13"/>
  <c r="M80" i="13"/>
  <c r="D97" i="13"/>
  <c r="D101" i="13" s="1"/>
  <c r="D74" i="13"/>
  <c r="R5" i="13" s="1"/>
  <c r="K5" i="13"/>
  <c r="G137" i="13"/>
  <c r="G11" i="13"/>
  <c r="F29" i="13"/>
  <c r="T29" i="13"/>
  <c r="M29" i="13"/>
  <c r="F72" i="13"/>
  <c r="H124" i="13"/>
  <c r="H12" i="13" s="1"/>
  <c r="H117" i="13"/>
  <c r="F81" i="13"/>
  <c r="T6" i="13" s="1"/>
  <c r="G122" i="13"/>
  <c r="U33" i="13" s="1"/>
  <c r="N33" i="13"/>
  <c r="F98" i="13"/>
  <c r="F102" i="13"/>
  <c r="M8" i="13" s="1"/>
  <c r="K8" i="13"/>
  <c r="H139" i="13"/>
  <c r="H14" i="13" s="1"/>
  <c r="H127" i="13"/>
  <c r="H134" i="13"/>
  <c r="H13" i="13" s="1"/>
  <c r="E99" i="13"/>
  <c r="E97" i="13"/>
  <c r="H136" i="12"/>
  <c r="H11" i="12" s="1"/>
  <c r="D8" i="12"/>
  <c r="F113" i="12"/>
  <c r="F10" i="12" s="1"/>
  <c r="H80" i="12"/>
  <c r="O6" i="12" s="1"/>
  <c r="N64" i="12"/>
  <c r="H6" i="12"/>
  <c r="H30" i="12"/>
  <c r="M80" i="12"/>
  <c r="F105" i="12"/>
  <c r="T9" i="12" s="1"/>
  <c r="G135" i="12"/>
  <c r="N13" i="12" s="1"/>
  <c r="G128" i="12"/>
  <c r="U13" i="12" s="1"/>
  <c r="T33" i="12"/>
  <c r="T12" i="12"/>
  <c r="G95" i="12"/>
  <c r="H93" i="12"/>
  <c r="G94" i="12"/>
  <c r="N10" i="12"/>
  <c r="G115" i="12"/>
  <c r="U10" i="12" s="1"/>
  <c r="G122" i="12"/>
  <c r="N33" i="12"/>
  <c r="G125" i="12"/>
  <c r="N12" i="12" s="1"/>
  <c r="E73" i="12"/>
  <c r="E5" i="12"/>
  <c r="G105" i="12"/>
  <c r="U9" i="12" s="1"/>
  <c r="G111" i="12"/>
  <c r="G9" i="12" s="1"/>
  <c r="G104" i="12"/>
  <c r="G112" i="12" s="1"/>
  <c r="N9" i="12" s="1"/>
  <c r="H103" i="12"/>
  <c r="H134" i="12"/>
  <c r="H13" i="12" s="1"/>
  <c r="H127" i="12"/>
  <c r="F98" i="12"/>
  <c r="F72" i="12"/>
  <c r="T29" i="12"/>
  <c r="F29" i="12"/>
  <c r="M29" i="12"/>
  <c r="M64" i="12"/>
  <c r="G6" i="12"/>
  <c r="G80" i="12"/>
  <c r="N6" i="12" s="1"/>
  <c r="M50" i="12"/>
  <c r="F95" i="12"/>
  <c r="G51" i="12"/>
  <c r="G53" i="12" s="1"/>
  <c r="H42" i="12"/>
  <c r="H45" i="12" s="1"/>
  <c r="H51" i="12" s="1"/>
  <c r="H53" i="12" s="1"/>
  <c r="O30" i="12"/>
  <c r="H121" i="12"/>
  <c r="H33" i="12"/>
  <c r="H124" i="12"/>
  <c r="H12" i="12" s="1"/>
  <c r="K5" i="12"/>
  <c r="D74" i="12"/>
  <c r="R5" i="12" s="1"/>
  <c r="E99" i="12"/>
  <c r="E97" i="12" s="1"/>
  <c r="G113" i="11"/>
  <c r="G10" i="11" s="1"/>
  <c r="U9" i="11"/>
  <c r="H135" i="11"/>
  <c r="O13" i="11" s="1"/>
  <c r="H128" i="11"/>
  <c r="V13" i="11" s="1"/>
  <c r="E99" i="11"/>
  <c r="O29" i="11"/>
  <c r="H72" i="11"/>
  <c r="H29" i="11"/>
  <c r="V29" i="11"/>
  <c r="G112" i="11"/>
  <c r="N9" i="11" s="1"/>
  <c r="M64" i="11"/>
  <c r="G6" i="11"/>
  <c r="G80" i="11"/>
  <c r="N6" i="11" s="1"/>
  <c r="E102" i="11"/>
  <c r="F74" i="11"/>
  <c r="T5" i="11" s="1"/>
  <c r="M5" i="11"/>
  <c r="G95" i="11"/>
  <c r="G94" i="11"/>
  <c r="H93" i="11"/>
  <c r="U29" i="11"/>
  <c r="N29" i="11"/>
  <c r="G72" i="11"/>
  <c r="G29" i="11"/>
  <c r="H79" i="11"/>
  <c r="H30" i="11"/>
  <c r="V30" i="11"/>
  <c r="O30" i="11"/>
  <c r="H115" i="11"/>
  <c r="V10" i="11" s="1"/>
  <c r="O10" i="11"/>
  <c r="E74" i="11"/>
  <c r="S5" i="11" s="1"/>
  <c r="L5" i="11"/>
  <c r="F98" i="11"/>
  <c r="F102" i="11" s="1"/>
  <c r="V12" i="11"/>
  <c r="O33" i="11"/>
  <c r="H122" i="11"/>
  <c r="V33" i="11" s="1"/>
  <c r="H105" i="11"/>
  <c r="V9" i="11" s="1"/>
  <c r="H104" i="11"/>
  <c r="H112" i="11" s="1"/>
  <c r="O9" i="11" s="1"/>
  <c r="H111" i="11"/>
  <c r="H9" i="11" s="1"/>
  <c r="H136" i="11"/>
  <c r="H11" i="11" s="1"/>
  <c r="E8" i="8"/>
  <c r="F12" i="3"/>
  <c r="I78" i="4"/>
  <c r="I37" i="4"/>
  <c r="C8" i="8"/>
  <c r="I38" i="4"/>
  <c r="Q38" i="4"/>
  <c r="J38" i="4"/>
  <c r="B39" i="4"/>
  <c r="A40" i="4"/>
  <c r="P39" i="4"/>
  <c r="C39" i="4"/>
  <c r="I39" i="4"/>
  <c r="D39" i="4"/>
  <c r="G38" i="4"/>
  <c r="N38" i="4"/>
  <c r="D5" i="3"/>
  <c r="F84" i="4"/>
  <c r="E84" i="4" s="1"/>
  <c r="F5" i="3"/>
  <c r="K28" i="4"/>
  <c r="O39" i="4" s="1"/>
  <c r="K11" i="4"/>
  <c r="H88" i="4"/>
  <c r="D8" i="3"/>
  <c r="D82" i="12" l="1"/>
  <c r="E82" i="12" s="1"/>
  <c r="F82" i="12" s="1"/>
  <c r="G82" i="12" s="1"/>
  <c r="H82" i="12" s="1"/>
  <c r="D82" i="11"/>
  <c r="E82" i="11" s="1"/>
  <c r="F82" i="11" s="1"/>
  <c r="G82" i="11" s="1"/>
  <c r="H82" i="11" s="1"/>
  <c r="G113" i="13"/>
  <c r="G10" i="13" s="1"/>
  <c r="G72" i="13"/>
  <c r="N29" i="13"/>
  <c r="U29" i="13"/>
  <c r="G29" i="13"/>
  <c r="H137" i="13"/>
  <c r="H11" i="13"/>
  <c r="H115" i="13"/>
  <c r="V10" i="13" s="1"/>
  <c r="O10" i="13"/>
  <c r="H95" i="13"/>
  <c r="H94" i="13"/>
  <c r="H122" i="13"/>
  <c r="V33" i="13" s="1"/>
  <c r="O33" i="13"/>
  <c r="E74" i="13"/>
  <c r="S5" i="13" s="1"/>
  <c r="L5" i="13"/>
  <c r="H72" i="13"/>
  <c r="H29" i="13"/>
  <c r="F5" i="13"/>
  <c r="F73" i="13"/>
  <c r="H125" i="13"/>
  <c r="O12" i="13" s="1"/>
  <c r="H118" i="13"/>
  <c r="V12" i="13" s="1"/>
  <c r="F99" i="13"/>
  <c r="G138" i="13"/>
  <c r="U11" i="13" s="1"/>
  <c r="N11" i="13"/>
  <c r="D8" i="13"/>
  <c r="G98" i="13"/>
  <c r="G102" i="13" s="1"/>
  <c r="G81" i="13"/>
  <c r="U6" i="13" s="1"/>
  <c r="S8" i="13"/>
  <c r="H105" i="13"/>
  <c r="V9" i="13" s="1"/>
  <c r="H111" i="13"/>
  <c r="H9" i="13" s="1"/>
  <c r="H104" i="13"/>
  <c r="H112" i="13" s="1"/>
  <c r="O9" i="13" s="1"/>
  <c r="H135" i="13"/>
  <c r="O13" i="13" s="1"/>
  <c r="H128" i="13"/>
  <c r="V13" i="13" s="1"/>
  <c r="E101" i="13"/>
  <c r="G95" i="13"/>
  <c r="H81" i="13"/>
  <c r="V6" i="13" s="1"/>
  <c r="G113" i="12"/>
  <c r="G10" i="12" s="1"/>
  <c r="E101" i="12"/>
  <c r="E8" i="12" s="1"/>
  <c r="H135" i="12"/>
  <c r="O13" i="12" s="1"/>
  <c r="H128" i="12"/>
  <c r="V13" i="12" s="1"/>
  <c r="U33" i="12"/>
  <c r="U12" i="12"/>
  <c r="H29" i="12"/>
  <c r="H72" i="12"/>
  <c r="V29" i="12"/>
  <c r="O29" i="12"/>
  <c r="F73" i="12"/>
  <c r="F5" i="12"/>
  <c r="H115" i="12"/>
  <c r="V10" i="12" s="1"/>
  <c r="H113" i="12"/>
  <c r="H10" i="12" s="1"/>
  <c r="O10" i="12"/>
  <c r="S8" i="12"/>
  <c r="N29" i="12"/>
  <c r="G29" i="12"/>
  <c r="U29" i="12"/>
  <c r="G72" i="12"/>
  <c r="F99" i="12"/>
  <c r="H111" i="12"/>
  <c r="H9" i="12" s="1"/>
  <c r="H104" i="12"/>
  <c r="H112" i="12" s="1"/>
  <c r="O9" i="12" s="1"/>
  <c r="H105" i="12"/>
  <c r="V9" i="12" s="1"/>
  <c r="G98" i="12"/>
  <c r="H122" i="12"/>
  <c r="O33" i="12"/>
  <c r="H125" i="12"/>
  <c r="O12" i="12" s="1"/>
  <c r="T8" i="12"/>
  <c r="F102" i="12"/>
  <c r="E74" i="12"/>
  <c r="S5" i="12" s="1"/>
  <c r="L5" i="12"/>
  <c r="H94" i="12"/>
  <c r="H95" i="12"/>
  <c r="M8" i="11"/>
  <c r="S8" i="11"/>
  <c r="F99" i="11"/>
  <c r="T8" i="11" s="1"/>
  <c r="F97" i="11"/>
  <c r="F101" i="11" s="1"/>
  <c r="H113" i="11"/>
  <c r="H10" i="11" s="1"/>
  <c r="H95" i="11"/>
  <c r="H94" i="11"/>
  <c r="H80" i="11"/>
  <c r="O6" i="11" s="1"/>
  <c r="N64" i="11"/>
  <c r="H6" i="11"/>
  <c r="G73" i="11"/>
  <c r="G5" i="11"/>
  <c r="G102" i="11"/>
  <c r="N8" i="11" s="1"/>
  <c r="G98" i="11"/>
  <c r="L8" i="11"/>
  <c r="H73" i="11"/>
  <c r="H5" i="11"/>
  <c r="E97" i="11"/>
  <c r="H84" i="4"/>
  <c r="E8" i="3"/>
  <c r="A41" i="4"/>
  <c r="I40" i="4"/>
  <c r="B40" i="4"/>
  <c r="P40" i="4"/>
  <c r="C40" i="4"/>
  <c r="O40" i="4"/>
  <c r="D40" i="4"/>
  <c r="O78" i="4"/>
  <c r="L78" i="4" s="1"/>
  <c r="E28" i="4"/>
  <c r="O37" i="4"/>
  <c r="L37" i="4" s="1"/>
  <c r="O38" i="4"/>
  <c r="L38" i="4" s="1"/>
  <c r="R38" i="4" s="1"/>
  <c r="G39" i="4"/>
  <c r="N39" i="4"/>
  <c r="Q39" i="4"/>
  <c r="J39" i="4"/>
  <c r="D12" i="3"/>
  <c r="D83" i="13" l="1"/>
  <c r="D83" i="11"/>
  <c r="D83" i="12"/>
  <c r="H113" i="13"/>
  <c r="H10" i="13" s="1"/>
  <c r="N8" i="13"/>
  <c r="E8" i="13"/>
  <c r="T8" i="13"/>
  <c r="H5" i="13"/>
  <c r="H73" i="13"/>
  <c r="H98" i="13"/>
  <c r="G73" i="13"/>
  <c r="G5" i="13"/>
  <c r="G99" i="13"/>
  <c r="O29" i="13"/>
  <c r="F97" i="13"/>
  <c r="F101" i="13" s="1"/>
  <c r="F74" i="13"/>
  <c r="T5" i="13" s="1"/>
  <c r="M5" i="13"/>
  <c r="V29" i="13"/>
  <c r="H138" i="13"/>
  <c r="V11" i="13" s="1"/>
  <c r="O11" i="13"/>
  <c r="F97" i="12"/>
  <c r="F101" i="12" s="1"/>
  <c r="F74" i="12"/>
  <c r="T5" i="12" s="1"/>
  <c r="M5" i="12"/>
  <c r="M8" i="12"/>
  <c r="G97" i="12"/>
  <c r="G101" i="12" s="1"/>
  <c r="G99" i="12"/>
  <c r="H98" i="12"/>
  <c r="H102" i="12"/>
  <c r="O8" i="12" s="1"/>
  <c r="H73" i="12"/>
  <c r="H5" i="12"/>
  <c r="V33" i="12"/>
  <c r="V12" i="12"/>
  <c r="G102" i="12"/>
  <c r="G73" i="12"/>
  <c r="G5" i="12"/>
  <c r="H98" i="11"/>
  <c r="H102" i="11" s="1"/>
  <c r="E101" i="11"/>
  <c r="G74" i="11"/>
  <c r="U5" i="11" s="1"/>
  <c r="N5" i="11"/>
  <c r="F8" i="11"/>
  <c r="H74" i="11"/>
  <c r="V5" i="11" s="1"/>
  <c r="O5" i="11"/>
  <c r="G99" i="11"/>
  <c r="U8" i="11" s="1"/>
  <c r="H89" i="4"/>
  <c r="R37" i="4"/>
  <c r="T82" i="4"/>
  <c r="N40" i="4"/>
  <c r="G40" i="4"/>
  <c r="E12" i="3"/>
  <c r="L39" i="4"/>
  <c r="R39" i="4" s="1"/>
  <c r="H78" i="4"/>
  <c r="E78" i="4" s="1"/>
  <c r="H37" i="4"/>
  <c r="E37" i="4" s="1"/>
  <c r="H38" i="4"/>
  <c r="E38" i="4" s="1"/>
  <c r="K38" i="4" s="1"/>
  <c r="H39" i="4"/>
  <c r="E39" i="4" s="1"/>
  <c r="K39" i="4" s="1"/>
  <c r="B41" i="4"/>
  <c r="O41" i="4"/>
  <c r="I41" i="4"/>
  <c r="D41" i="4"/>
  <c r="P41" i="4"/>
  <c r="A42" i="4"/>
  <c r="C41" i="4"/>
  <c r="H41" i="4"/>
  <c r="R78" i="4"/>
  <c r="F13" i="3"/>
  <c r="F14" i="3" s="1"/>
  <c r="H40" i="4"/>
  <c r="Q40" i="4"/>
  <c r="J40" i="4"/>
  <c r="L40" i="4" l="1"/>
  <c r="R40" i="4" s="1"/>
  <c r="E83" i="12"/>
  <c r="D84" i="12"/>
  <c r="D85" i="12"/>
  <c r="E83" i="11"/>
  <c r="D84" i="11"/>
  <c r="D85" i="11" s="1"/>
  <c r="E40" i="4"/>
  <c r="K40" i="4" s="1"/>
  <c r="D84" i="13"/>
  <c r="D85" i="13" s="1"/>
  <c r="E83" i="13"/>
  <c r="F8" i="13"/>
  <c r="U8" i="13"/>
  <c r="G74" i="13"/>
  <c r="U5" i="13" s="1"/>
  <c r="N5" i="13"/>
  <c r="H99" i="13"/>
  <c r="G97" i="13"/>
  <c r="G101" i="13" s="1"/>
  <c r="H102" i="13"/>
  <c r="O5" i="13"/>
  <c r="H74" i="13"/>
  <c r="V5" i="13" s="1"/>
  <c r="G74" i="12"/>
  <c r="U5" i="12" s="1"/>
  <c r="N5" i="12"/>
  <c r="G8" i="12"/>
  <c r="F8" i="12"/>
  <c r="N8" i="12"/>
  <c r="O5" i="12"/>
  <c r="H74" i="12"/>
  <c r="V5" i="12" s="1"/>
  <c r="H99" i="12"/>
  <c r="V8" i="12" s="1"/>
  <c r="U8" i="12"/>
  <c r="O8" i="11"/>
  <c r="G97" i="11"/>
  <c r="G101" i="11" s="1"/>
  <c r="E8" i="11"/>
  <c r="H99" i="11"/>
  <c r="V8" i="11" s="1"/>
  <c r="G41" i="4"/>
  <c r="N41" i="4"/>
  <c r="A43" i="4"/>
  <c r="I42" i="4"/>
  <c r="C42" i="4"/>
  <c r="P42" i="4"/>
  <c r="H42" i="4"/>
  <c r="D42" i="4"/>
  <c r="O42" i="4"/>
  <c r="B42" i="4"/>
  <c r="F9" i="3"/>
  <c r="F10" i="3" s="1"/>
  <c r="K78" i="4"/>
  <c r="Q41" i="4"/>
  <c r="J41" i="4"/>
  <c r="E89" i="4"/>
  <c r="K37" i="4"/>
  <c r="I89" i="4"/>
  <c r="I90" i="4" s="1"/>
  <c r="D13" i="3"/>
  <c r="D14" i="3" s="1"/>
  <c r="H90" i="4"/>
  <c r="L41" i="4" l="1"/>
  <c r="R41" i="4" s="1"/>
  <c r="F83" i="12"/>
  <c r="K53" i="12"/>
  <c r="E84" i="12"/>
  <c r="E85" i="12"/>
  <c r="F83" i="13"/>
  <c r="E84" i="13"/>
  <c r="K53" i="13"/>
  <c r="E85" i="13"/>
  <c r="E84" i="11"/>
  <c r="F83" i="11"/>
  <c r="K53" i="11"/>
  <c r="O8" i="13"/>
  <c r="G8" i="13"/>
  <c r="V8" i="13"/>
  <c r="H97" i="13"/>
  <c r="H101" i="13" s="1"/>
  <c r="H97" i="12"/>
  <c r="H101" i="12" s="1"/>
  <c r="H97" i="11"/>
  <c r="H101" i="11" s="1"/>
  <c r="G8" i="11"/>
  <c r="Q42" i="4"/>
  <c r="J42" i="4"/>
  <c r="D9" i="3"/>
  <c r="D10" i="3" s="1"/>
  <c r="E90" i="4"/>
  <c r="G42" i="4"/>
  <c r="N42" i="4"/>
  <c r="E41" i="4"/>
  <c r="K41" i="4" s="1"/>
  <c r="B43" i="4"/>
  <c r="O43" i="4"/>
  <c r="A44" i="4"/>
  <c r="I43" i="4"/>
  <c r="C43" i="4"/>
  <c r="D43" i="4"/>
  <c r="P43" i="4"/>
  <c r="H43" i="4"/>
  <c r="L42" i="4" l="1"/>
  <c r="R42" i="4" s="1"/>
  <c r="E42" i="4"/>
  <c r="K42" i="4" s="1"/>
  <c r="K57" i="11"/>
  <c r="K57" i="12"/>
  <c r="G83" i="11"/>
  <c r="F84" i="11"/>
  <c r="K57" i="13"/>
  <c r="G83" i="12"/>
  <c r="F84" i="12"/>
  <c r="F85" i="12" s="1"/>
  <c r="E85" i="11"/>
  <c r="G83" i="13"/>
  <c r="F84" i="13"/>
  <c r="H8" i="13"/>
  <c r="H8" i="12"/>
  <c r="H8" i="11"/>
  <c r="A45" i="4"/>
  <c r="I44" i="4"/>
  <c r="C44" i="4"/>
  <c r="P44" i="4"/>
  <c r="H44" i="4"/>
  <c r="D44" i="4"/>
  <c r="B44" i="4"/>
  <c r="O44" i="4"/>
  <c r="Q43" i="4"/>
  <c r="J43" i="4"/>
  <c r="G43" i="4"/>
  <c r="N43" i="4"/>
  <c r="E43" i="4" l="1"/>
  <c r="K43" i="4" s="1"/>
  <c r="H83" i="12"/>
  <c r="G84" i="12"/>
  <c r="G85" i="12" s="1"/>
  <c r="F85" i="13"/>
  <c r="H83" i="11"/>
  <c r="G84" i="11"/>
  <c r="G85" i="11" s="1"/>
  <c r="H83" i="13"/>
  <c r="G84" i="13"/>
  <c r="G85" i="13" s="1"/>
  <c r="F85" i="11"/>
  <c r="Q44" i="4"/>
  <c r="J44" i="4"/>
  <c r="G44" i="4"/>
  <c r="N44" i="4"/>
  <c r="L43" i="4"/>
  <c r="R43" i="4" s="1"/>
  <c r="B45" i="4"/>
  <c r="O45" i="4"/>
  <c r="I45" i="4"/>
  <c r="A46" i="4"/>
  <c r="P45" i="4"/>
  <c r="H45" i="4"/>
  <c r="C45" i="4"/>
  <c r="D45" i="4"/>
  <c r="E44" i="4" l="1"/>
  <c r="K44" i="4" s="1"/>
  <c r="H84" i="13"/>
  <c r="H85" i="13" s="1"/>
  <c r="H84" i="11"/>
  <c r="H84" i="12"/>
  <c r="A47" i="4"/>
  <c r="I46" i="4"/>
  <c r="C46" i="4"/>
  <c r="P46" i="4"/>
  <c r="H46" i="4"/>
  <c r="D46" i="4"/>
  <c r="O46" i="4"/>
  <c r="B46" i="4"/>
  <c r="Q45" i="4"/>
  <c r="J45" i="4"/>
  <c r="G45" i="4"/>
  <c r="N45" i="4"/>
  <c r="L45" i="4" s="1"/>
  <c r="R45" i="4" s="1"/>
  <c r="L44" i="4"/>
  <c r="R44" i="4" s="1"/>
  <c r="E45" i="4" l="1"/>
  <c r="K45" i="4" s="1"/>
  <c r="H85" i="12"/>
  <c r="H85" i="11"/>
  <c r="G46" i="4"/>
  <c r="N46" i="4"/>
  <c r="B47" i="4"/>
  <c r="O47" i="4"/>
  <c r="A48" i="4"/>
  <c r="C47" i="4"/>
  <c r="D47" i="4"/>
  <c r="I47" i="4"/>
  <c r="P47" i="4"/>
  <c r="H47" i="4"/>
  <c r="Q46" i="4"/>
  <c r="J46" i="4"/>
  <c r="E46" i="4" l="1"/>
  <c r="K46" i="4" s="1"/>
  <c r="Q47" i="4"/>
  <c r="J47" i="4"/>
  <c r="G47" i="4"/>
  <c r="N47" i="4"/>
  <c r="A49" i="4"/>
  <c r="I48" i="4"/>
  <c r="C48" i="4"/>
  <c r="P48" i="4"/>
  <c r="H48" i="4"/>
  <c r="D48" i="4"/>
  <c r="B48" i="4"/>
  <c r="O48" i="4"/>
  <c r="L46" i="4"/>
  <c r="R46" i="4" s="1"/>
  <c r="L47" i="4" l="1"/>
  <c r="R47" i="4" s="1"/>
  <c r="E47" i="4"/>
  <c r="K47" i="4" s="1"/>
  <c r="G48" i="4"/>
  <c r="N48" i="4"/>
  <c r="Q48" i="4"/>
  <c r="J48" i="4"/>
  <c r="B49" i="4"/>
  <c r="O49" i="4"/>
  <c r="I49" i="4"/>
  <c r="A50" i="4"/>
  <c r="P49" i="4"/>
  <c r="H49" i="4"/>
  <c r="D49" i="4"/>
  <c r="C49" i="4"/>
  <c r="L48" i="4" l="1"/>
  <c r="R48" i="4" s="1"/>
  <c r="G49" i="4"/>
  <c r="N49" i="4"/>
  <c r="A51" i="4"/>
  <c r="I50" i="4"/>
  <c r="C50" i="4"/>
  <c r="P50" i="4"/>
  <c r="H50" i="4"/>
  <c r="D50" i="4"/>
  <c r="O50" i="4"/>
  <c r="B50" i="4"/>
  <c r="Q49" i="4"/>
  <c r="J49" i="4"/>
  <c r="E48" i="4"/>
  <c r="K48" i="4" s="1"/>
  <c r="L49" i="4" l="1"/>
  <c r="R49" i="4" s="1"/>
  <c r="Q50" i="4"/>
  <c r="J50" i="4"/>
  <c r="B51" i="4"/>
  <c r="O51" i="4"/>
  <c r="A52" i="4"/>
  <c r="I51" i="4"/>
  <c r="C51" i="4"/>
  <c r="D51" i="4"/>
  <c r="H51" i="4"/>
  <c r="P51" i="4"/>
  <c r="G50" i="4"/>
  <c r="E50" i="4" s="1"/>
  <c r="K50" i="4" s="1"/>
  <c r="N50" i="4"/>
  <c r="E49" i="4"/>
  <c r="K49" i="4" s="1"/>
  <c r="L50" i="4" l="1"/>
  <c r="R50" i="4" s="1"/>
  <c r="G51" i="4"/>
  <c r="N51" i="4"/>
  <c r="Q51" i="4"/>
  <c r="J51" i="4"/>
  <c r="A53" i="4"/>
  <c r="I52" i="4"/>
  <c r="C52" i="4"/>
  <c r="P52" i="4"/>
  <c r="H52" i="4"/>
  <c r="D52" i="4"/>
  <c r="B52" i="4"/>
  <c r="O52" i="4"/>
  <c r="Q52" i="4" l="1"/>
  <c r="J52" i="4"/>
  <c r="G52" i="4"/>
  <c r="E52" i="4" s="1"/>
  <c r="K52" i="4" s="1"/>
  <c r="N52" i="4"/>
  <c r="L52" i="4" s="1"/>
  <c r="R52" i="4" s="1"/>
  <c r="L51" i="4"/>
  <c r="R51" i="4" s="1"/>
  <c r="B53" i="4"/>
  <c r="O53" i="4"/>
  <c r="I53" i="4"/>
  <c r="A54" i="4"/>
  <c r="P53" i="4"/>
  <c r="H53" i="4"/>
  <c r="D53" i="4"/>
  <c r="C53" i="4"/>
  <c r="E51" i="4"/>
  <c r="K51" i="4" s="1"/>
  <c r="Q53" i="4" l="1"/>
  <c r="J53" i="4"/>
  <c r="G53" i="4"/>
  <c r="N53" i="4"/>
  <c r="A55" i="4"/>
  <c r="I54" i="4"/>
  <c r="C54" i="4"/>
  <c r="P54" i="4"/>
  <c r="H54" i="4"/>
  <c r="D54" i="4"/>
  <c r="O54" i="4"/>
  <c r="B54" i="4"/>
  <c r="E53" i="4" l="1"/>
  <c r="K53" i="4" s="1"/>
  <c r="L53" i="4"/>
  <c r="R53" i="4" s="1"/>
  <c r="G54" i="4"/>
  <c r="N54" i="4"/>
  <c r="Q54" i="4"/>
  <c r="J54" i="4"/>
  <c r="B55" i="4"/>
  <c r="O55" i="4"/>
  <c r="A56" i="4"/>
  <c r="C55" i="4"/>
  <c r="D55" i="4"/>
  <c r="I55" i="4"/>
  <c r="H55" i="4"/>
  <c r="P55" i="4"/>
  <c r="A57" i="4" l="1"/>
  <c r="I56" i="4"/>
  <c r="C56" i="4"/>
  <c r="P56" i="4"/>
  <c r="H56" i="4"/>
  <c r="D56" i="4"/>
  <c r="B56" i="4"/>
  <c r="O56" i="4"/>
  <c r="G55" i="4"/>
  <c r="N55" i="4"/>
  <c r="L54" i="4"/>
  <c r="R54" i="4" s="1"/>
  <c r="Q55" i="4"/>
  <c r="J55" i="4"/>
  <c r="E54" i="4"/>
  <c r="K54" i="4" s="1"/>
  <c r="Q56" i="4" l="1"/>
  <c r="J56" i="4"/>
  <c r="G56" i="4"/>
  <c r="N56" i="4"/>
  <c r="L55" i="4"/>
  <c r="R55" i="4" s="1"/>
  <c r="E55" i="4"/>
  <c r="K55" i="4" s="1"/>
  <c r="B57" i="4"/>
  <c r="O57" i="4"/>
  <c r="I57" i="4"/>
  <c r="P57" i="4"/>
  <c r="H57" i="4"/>
  <c r="A58" i="4"/>
  <c r="C57" i="4"/>
  <c r="D57" i="4"/>
  <c r="L56" i="4" l="1"/>
  <c r="R56" i="4" s="1"/>
  <c r="E56" i="4"/>
  <c r="K56" i="4" s="1"/>
  <c r="A59" i="4"/>
  <c r="I58" i="4"/>
  <c r="C58" i="4"/>
  <c r="P58" i="4"/>
  <c r="H58" i="4"/>
  <c r="D58" i="4"/>
  <c r="O58" i="4"/>
  <c r="B58" i="4"/>
  <c r="Q57" i="4"/>
  <c r="J57" i="4"/>
  <c r="G57" i="4"/>
  <c r="E57" i="4" s="1"/>
  <c r="K57" i="4" s="1"/>
  <c r="N57" i="4"/>
  <c r="L57" i="4" l="1"/>
  <c r="R57" i="4" s="1"/>
  <c r="Q58" i="4"/>
  <c r="J58" i="4"/>
  <c r="G58" i="4"/>
  <c r="N58" i="4"/>
  <c r="B59" i="4"/>
  <c r="O59" i="4"/>
  <c r="A60" i="4"/>
  <c r="C59" i="4"/>
  <c r="D59" i="4"/>
  <c r="I59" i="4"/>
  <c r="P59" i="4"/>
  <c r="H59" i="4"/>
  <c r="E58" i="4" l="1"/>
  <c r="K58" i="4" s="1"/>
  <c r="L58" i="4"/>
  <c r="R58" i="4" s="1"/>
  <c r="G59" i="4"/>
  <c r="N59" i="4"/>
  <c r="A61" i="4"/>
  <c r="I60" i="4"/>
  <c r="C60" i="4"/>
  <c r="P60" i="4"/>
  <c r="H60" i="4"/>
  <c r="D60" i="4"/>
  <c r="B60" i="4"/>
  <c r="O60" i="4"/>
  <c r="Q59" i="4"/>
  <c r="J59" i="4"/>
  <c r="L59" i="4" l="1"/>
  <c r="R59" i="4" s="1"/>
  <c r="Q60" i="4"/>
  <c r="J60" i="4"/>
  <c r="C61" i="4"/>
  <c r="P61" i="4"/>
  <c r="A62" i="4"/>
  <c r="O61" i="4"/>
  <c r="B61" i="4"/>
  <c r="I61" i="4"/>
  <c r="H61" i="4"/>
  <c r="D61" i="4"/>
  <c r="G60" i="4"/>
  <c r="N60" i="4"/>
  <c r="E59" i="4"/>
  <c r="K59" i="4" s="1"/>
  <c r="L60" i="4" l="1"/>
  <c r="R60" i="4" s="1"/>
  <c r="E60" i="4"/>
  <c r="K60" i="4" s="1"/>
  <c r="G61" i="4"/>
  <c r="N61" i="4"/>
  <c r="Q61" i="4"/>
  <c r="J61" i="4"/>
  <c r="B62" i="4"/>
  <c r="H62" i="4"/>
  <c r="A63" i="4"/>
  <c r="C62" i="4"/>
  <c r="I62" i="4"/>
  <c r="P62" i="4"/>
  <c r="D62" i="4"/>
  <c r="O62" i="4"/>
  <c r="L61" i="4" l="1"/>
  <c r="R61" i="4" s="1"/>
  <c r="C63" i="4"/>
  <c r="P63" i="4"/>
  <c r="H63" i="4"/>
  <c r="D63" i="4"/>
  <c r="A64" i="4"/>
  <c r="O63" i="4"/>
  <c r="I63" i="4"/>
  <c r="B63" i="4"/>
  <c r="N62" i="4"/>
  <c r="G62" i="4"/>
  <c r="Q62" i="4"/>
  <c r="J62" i="4"/>
  <c r="E61" i="4"/>
  <c r="K61" i="4" s="1"/>
  <c r="Q63" i="4" l="1"/>
  <c r="J63" i="4"/>
  <c r="E62" i="4"/>
  <c r="K62" i="4" s="1"/>
  <c r="L62" i="4"/>
  <c r="R62" i="4" s="1"/>
  <c r="C64" i="4"/>
  <c r="O64" i="4"/>
  <c r="I64" i="4"/>
  <c r="D64" i="4"/>
  <c r="B64" i="4"/>
  <c r="H64" i="4"/>
  <c r="P64" i="4"/>
  <c r="A65" i="4"/>
  <c r="N63" i="4"/>
  <c r="L63" i="4" s="1"/>
  <c r="R63" i="4" s="1"/>
  <c r="G63" i="4"/>
  <c r="E63" i="4" s="1"/>
  <c r="K63" i="4" s="1"/>
  <c r="C65" i="4" l="1"/>
  <c r="P65" i="4"/>
  <c r="H65" i="4"/>
  <c r="D65" i="4"/>
  <c r="A66" i="4"/>
  <c r="O65" i="4"/>
  <c r="B65" i="4"/>
  <c r="I65" i="4"/>
  <c r="Q64" i="4"/>
  <c r="J64" i="4"/>
  <c r="N64" i="4"/>
  <c r="G64" i="4"/>
  <c r="E64" i="4" s="1"/>
  <c r="K64" i="4" s="1"/>
  <c r="L64" i="4" l="1"/>
  <c r="R64" i="4" s="1"/>
  <c r="Q65" i="4"/>
  <c r="J65" i="4"/>
  <c r="A67" i="4"/>
  <c r="P66" i="4"/>
  <c r="C66" i="4"/>
  <c r="O66" i="4"/>
  <c r="I66" i="4"/>
  <c r="D66" i="4"/>
  <c r="H66" i="4"/>
  <c r="B66" i="4"/>
  <c r="G65" i="4"/>
  <c r="N65" i="4"/>
  <c r="E65" i="4" l="1"/>
  <c r="K65" i="4" s="1"/>
  <c r="L65" i="4"/>
  <c r="R65" i="4" s="1"/>
  <c r="Q66" i="4"/>
  <c r="J66" i="4"/>
  <c r="C67" i="4"/>
  <c r="P67" i="4"/>
  <c r="H67" i="4"/>
  <c r="D67" i="4"/>
  <c r="B67" i="4"/>
  <c r="I67" i="4"/>
  <c r="O67" i="4"/>
  <c r="A68" i="4"/>
  <c r="N66" i="4"/>
  <c r="G66" i="4"/>
  <c r="L66" i="4" l="1"/>
  <c r="R66" i="4" s="1"/>
  <c r="E66" i="4"/>
  <c r="K66" i="4" s="1"/>
  <c r="Q67" i="4"/>
  <c r="J67" i="4"/>
  <c r="N67" i="4"/>
  <c r="G67" i="4"/>
  <c r="A69" i="4"/>
  <c r="P68" i="4"/>
  <c r="C68" i="4"/>
  <c r="I68" i="4"/>
  <c r="O68" i="4"/>
  <c r="B68" i="4"/>
  <c r="H68" i="4"/>
  <c r="D68" i="4"/>
  <c r="L67" i="4" l="1"/>
  <c r="R67" i="4" s="1"/>
  <c r="E67" i="4"/>
  <c r="K67" i="4" s="1"/>
  <c r="N68" i="4"/>
  <c r="G68" i="4"/>
  <c r="Q68" i="4"/>
  <c r="J68" i="4"/>
  <c r="C69" i="4"/>
  <c r="P69" i="4"/>
  <c r="H69" i="4"/>
  <c r="D69" i="4"/>
  <c r="A70" i="4"/>
  <c r="O69" i="4"/>
  <c r="B69" i="4"/>
  <c r="I69" i="4"/>
  <c r="E68" i="4" l="1"/>
  <c r="K68" i="4" s="1"/>
  <c r="Q69" i="4"/>
  <c r="J69" i="4"/>
  <c r="B70" i="4"/>
  <c r="H70" i="4"/>
  <c r="P70" i="4"/>
  <c r="A71" i="4"/>
  <c r="O70" i="4"/>
  <c r="D70" i="4"/>
  <c r="C70" i="4"/>
  <c r="I70" i="4"/>
  <c r="N69" i="4"/>
  <c r="G69" i="4"/>
  <c r="L68" i="4"/>
  <c r="R68" i="4" s="1"/>
  <c r="L69" i="4" l="1"/>
  <c r="R69" i="4" s="1"/>
  <c r="E69" i="4"/>
  <c r="K69" i="4" s="1"/>
  <c r="Q70" i="4"/>
  <c r="J70" i="4"/>
  <c r="C71" i="4"/>
  <c r="P71" i="4"/>
  <c r="H71" i="4"/>
  <c r="D71" i="4"/>
  <c r="A72" i="4"/>
  <c r="O71" i="4"/>
  <c r="B71" i="4"/>
  <c r="I71" i="4"/>
  <c r="N70" i="4"/>
  <c r="L70" i="4" s="1"/>
  <c r="R70" i="4" s="1"/>
  <c r="G70" i="4"/>
  <c r="E70" i="4" l="1"/>
  <c r="K70" i="4" s="1"/>
  <c r="N71" i="4"/>
  <c r="G71" i="4"/>
  <c r="C72" i="4"/>
  <c r="O72" i="4"/>
  <c r="I72" i="4"/>
  <c r="D72" i="4"/>
  <c r="B72" i="4"/>
  <c r="H72" i="4"/>
  <c r="A73" i="4"/>
  <c r="P72" i="4"/>
  <c r="Q71" i="4"/>
  <c r="J71" i="4"/>
  <c r="N72" i="4" l="1"/>
  <c r="G72" i="4"/>
  <c r="Q72" i="4"/>
  <c r="J72" i="4"/>
  <c r="E71" i="4"/>
  <c r="K71" i="4" s="1"/>
  <c r="C73" i="4"/>
  <c r="P73" i="4"/>
  <c r="H73" i="4"/>
  <c r="D73" i="4"/>
  <c r="O73" i="4"/>
  <c r="A74" i="4"/>
  <c r="B73" i="4"/>
  <c r="I73" i="4"/>
  <c r="L71" i="4"/>
  <c r="R71" i="4" s="1"/>
  <c r="L72" i="4" l="1"/>
  <c r="R72" i="4" s="1"/>
  <c r="Q73" i="4"/>
  <c r="J73" i="4"/>
  <c r="A75" i="4"/>
  <c r="P74" i="4"/>
  <c r="C74" i="4"/>
  <c r="O74" i="4"/>
  <c r="I74" i="4"/>
  <c r="D74" i="4"/>
  <c r="B74" i="4"/>
  <c r="H74" i="4"/>
  <c r="G73" i="4"/>
  <c r="E73" i="4" s="1"/>
  <c r="K73" i="4" s="1"/>
  <c r="N73" i="4"/>
  <c r="E72" i="4"/>
  <c r="K72" i="4" s="1"/>
  <c r="L73" i="4" l="1"/>
  <c r="R73" i="4" s="1"/>
  <c r="C75" i="4"/>
  <c r="P75" i="4"/>
  <c r="H75" i="4"/>
  <c r="D75" i="4"/>
  <c r="B75" i="4"/>
  <c r="I75" i="4"/>
  <c r="A76" i="4"/>
  <c r="O75" i="4"/>
  <c r="Q74" i="4"/>
  <c r="J74" i="4"/>
  <c r="N74" i="4"/>
  <c r="G74" i="4"/>
  <c r="E74" i="4" l="1"/>
  <c r="K74" i="4" s="1"/>
  <c r="L74" i="4"/>
  <c r="R74" i="4" s="1"/>
  <c r="A77" i="4"/>
  <c r="P76" i="4"/>
  <c r="O76" i="4"/>
  <c r="D76" i="4"/>
  <c r="C76" i="4"/>
  <c r="I76" i="4"/>
  <c r="H76" i="4"/>
  <c r="B76" i="4"/>
  <c r="Q75" i="4"/>
  <c r="J75" i="4"/>
  <c r="N75" i="4"/>
  <c r="G75" i="4"/>
  <c r="E75" i="4" l="1"/>
  <c r="K75" i="4" s="1"/>
  <c r="L75" i="4"/>
  <c r="R75" i="4" s="1"/>
  <c r="Q76" i="4"/>
  <c r="J76" i="4"/>
  <c r="N76" i="4"/>
  <c r="G76" i="4"/>
  <c r="P77" i="4"/>
  <c r="H77" i="4"/>
  <c r="D77" i="4"/>
  <c r="O77" i="4"/>
  <c r="I77" i="4"/>
  <c r="T77" i="4"/>
  <c r="T80" i="4" s="1"/>
  <c r="S77" i="4"/>
  <c r="S80" i="4" s="1"/>
  <c r="E76" i="4" l="1"/>
  <c r="K76" i="4" s="1"/>
  <c r="L76" i="4"/>
  <c r="R76" i="4" s="1"/>
  <c r="Q77" i="4"/>
  <c r="J77" i="4"/>
  <c r="N77" i="4"/>
  <c r="G77" i="4"/>
  <c r="L77" i="4" l="1"/>
  <c r="H85" i="4" s="1"/>
  <c r="E77" i="4"/>
  <c r="T83" i="4" l="1"/>
  <c r="R77" i="4"/>
  <c r="E85" i="4"/>
  <c r="K77" i="4"/>
  <c r="I85" i="4"/>
  <c r="I86" i="4" s="1"/>
  <c r="E13" i="3"/>
  <c r="H86" i="4"/>
  <c r="D88" i="12" l="1"/>
  <c r="D88" i="11"/>
  <c r="D88" i="13"/>
  <c r="E14" i="3"/>
  <c r="E9" i="3"/>
  <c r="E86" i="4"/>
  <c r="D87" i="12" l="1"/>
  <c r="D87" i="11"/>
  <c r="D87" i="13"/>
  <c r="E88" i="13"/>
  <c r="D92" i="13"/>
  <c r="E88" i="11"/>
  <c r="D92" i="11"/>
  <c r="E88" i="12"/>
  <c r="D92" i="12"/>
  <c r="E10" i="3"/>
  <c r="K32" i="12" l="1"/>
  <c r="K7" i="12"/>
  <c r="K18" i="12" s="1"/>
  <c r="K22" i="12" s="1"/>
  <c r="F88" i="12"/>
  <c r="E92" i="12"/>
  <c r="F88" i="13"/>
  <c r="E92" i="13"/>
  <c r="D89" i="13"/>
  <c r="D91" i="13"/>
  <c r="K7" i="13"/>
  <c r="K18" i="13" s="1"/>
  <c r="K22" i="13" s="1"/>
  <c r="K32" i="13"/>
  <c r="J18" i="10" s="1"/>
  <c r="K32" i="11"/>
  <c r="C18" i="10" s="1"/>
  <c r="K7" i="11"/>
  <c r="K18" i="11" s="1"/>
  <c r="K22" i="11" s="1"/>
  <c r="D89" i="11"/>
  <c r="D91" i="11"/>
  <c r="F88" i="11"/>
  <c r="E92" i="11"/>
  <c r="D89" i="12"/>
  <c r="D91" i="12"/>
  <c r="L7" i="13" l="1"/>
  <c r="L18" i="13" s="1"/>
  <c r="L22" i="13" s="1"/>
  <c r="L32" i="13"/>
  <c r="K18" i="10" s="1"/>
  <c r="L7" i="12"/>
  <c r="L18" i="12" s="1"/>
  <c r="L22" i="12" s="1"/>
  <c r="L32" i="12"/>
  <c r="B89" i="13"/>
  <c r="E89" i="13" s="1"/>
  <c r="R32" i="13"/>
  <c r="R7" i="13"/>
  <c r="R18" i="13" s="1"/>
  <c r="K24" i="13"/>
  <c r="D22" i="13"/>
  <c r="D34" i="13" s="1"/>
  <c r="J9" i="10" s="1"/>
  <c r="K34" i="13"/>
  <c r="K24" i="12"/>
  <c r="K34" i="12"/>
  <c r="K36" i="12" s="1"/>
  <c r="D22" i="12"/>
  <c r="D34" i="12" s="1"/>
  <c r="L7" i="11"/>
  <c r="L18" i="11" s="1"/>
  <c r="L32" i="11"/>
  <c r="D18" i="10" s="1"/>
  <c r="B89" i="11"/>
  <c r="E89" i="11" s="1"/>
  <c r="R32" i="11"/>
  <c r="R7" i="11"/>
  <c r="R18" i="11" s="1"/>
  <c r="G88" i="13"/>
  <c r="F92" i="13"/>
  <c r="D7" i="12"/>
  <c r="D18" i="12" s="1"/>
  <c r="D32" i="12"/>
  <c r="G88" i="11"/>
  <c r="F92" i="11"/>
  <c r="B89" i="12"/>
  <c r="E89" i="12" s="1"/>
  <c r="R32" i="12"/>
  <c r="R36" i="12" s="1"/>
  <c r="R7" i="12"/>
  <c r="R18" i="12" s="1"/>
  <c r="D7" i="11"/>
  <c r="D18" i="11" s="1"/>
  <c r="D32" i="11"/>
  <c r="C7" i="10" s="1"/>
  <c r="K24" i="11"/>
  <c r="K34" i="11"/>
  <c r="D22" i="11"/>
  <c r="D34" i="11" s="1"/>
  <c r="C9" i="10" s="1"/>
  <c r="D7" i="13"/>
  <c r="D18" i="13" s="1"/>
  <c r="D32" i="13"/>
  <c r="J7" i="10" s="1"/>
  <c r="G88" i="12"/>
  <c r="F92" i="12"/>
  <c r="K36" i="11" l="1"/>
  <c r="C22" i="10" s="1"/>
  <c r="C20" i="10"/>
  <c r="R36" i="11"/>
  <c r="C33" i="10" s="1"/>
  <c r="C29" i="10"/>
  <c r="K36" i="13"/>
  <c r="J22" i="10" s="1"/>
  <c r="J20" i="10"/>
  <c r="R36" i="13"/>
  <c r="J33" i="10" s="1"/>
  <c r="J29" i="10"/>
  <c r="D24" i="13"/>
  <c r="D24" i="12"/>
  <c r="F89" i="12"/>
  <c r="F87" i="12" s="1"/>
  <c r="F91" i="12" s="1"/>
  <c r="F89" i="11"/>
  <c r="F87" i="11" s="1"/>
  <c r="F91" i="11" s="1"/>
  <c r="D36" i="11"/>
  <c r="C11" i="10" s="1"/>
  <c r="K37" i="11"/>
  <c r="H88" i="12"/>
  <c r="G89" i="12"/>
  <c r="G87" i="12" s="1"/>
  <c r="G91" i="12" s="1"/>
  <c r="G92" i="12"/>
  <c r="H88" i="11"/>
  <c r="G89" i="11"/>
  <c r="G87" i="11" s="1"/>
  <c r="G91" i="11" s="1"/>
  <c r="G92" i="11"/>
  <c r="S32" i="12"/>
  <c r="S36" i="12" s="1"/>
  <c r="S7" i="12"/>
  <c r="S18" i="12" s="1"/>
  <c r="E87" i="12"/>
  <c r="M7" i="13"/>
  <c r="M18" i="13" s="1"/>
  <c r="M32" i="13"/>
  <c r="L18" i="10" s="1"/>
  <c r="L22" i="11"/>
  <c r="L24" i="12"/>
  <c r="L34" i="12"/>
  <c r="L36" i="12" s="1"/>
  <c r="E22" i="12"/>
  <c r="H88" i="13"/>
  <c r="G89" i="13"/>
  <c r="G92" i="13"/>
  <c r="S32" i="13"/>
  <c r="S7" i="13"/>
  <c r="S18" i="13" s="1"/>
  <c r="E87" i="13"/>
  <c r="M7" i="12"/>
  <c r="M18" i="12" s="1"/>
  <c r="M22" i="12" s="1"/>
  <c r="M32" i="12"/>
  <c r="M7" i="11"/>
  <c r="M18" i="11" s="1"/>
  <c r="M22" i="11" s="1"/>
  <c r="M32" i="11"/>
  <c r="E18" i="10" s="1"/>
  <c r="D36" i="12"/>
  <c r="D36" i="13"/>
  <c r="T7" i="12"/>
  <c r="T18" i="12" s="1"/>
  <c r="D24" i="11"/>
  <c r="T7" i="11"/>
  <c r="T18" i="11" s="1"/>
  <c r="F89" i="13"/>
  <c r="S32" i="11"/>
  <c r="S7" i="11"/>
  <c r="S18" i="11" s="1"/>
  <c r="E87" i="11"/>
  <c r="L24" i="13"/>
  <c r="L34" i="13"/>
  <c r="E22" i="13"/>
  <c r="S36" i="11" l="1"/>
  <c r="D33" i="10" s="1"/>
  <c r="D29" i="10"/>
  <c r="T32" i="11"/>
  <c r="K37" i="13"/>
  <c r="J11" i="10"/>
  <c r="S36" i="13"/>
  <c r="K33" i="10" s="1"/>
  <c r="K29" i="10"/>
  <c r="L36" i="13"/>
  <c r="K22" i="10" s="1"/>
  <c r="K20" i="10"/>
  <c r="T32" i="12"/>
  <c r="T36" i="12" s="1"/>
  <c r="F7" i="12"/>
  <c r="F18" i="12" s="1"/>
  <c r="F32" i="12"/>
  <c r="H89" i="13"/>
  <c r="H87" i="13" s="1"/>
  <c r="H91" i="13" s="1"/>
  <c r="H92" i="13"/>
  <c r="E22" i="11"/>
  <c r="L34" i="11"/>
  <c r="N7" i="12"/>
  <c r="N18" i="12" s="1"/>
  <c r="N32" i="12"/>
  <c r="L85" i="13"/>
  <c r="L55" i="13"/>
  <c r="M55" i="13" s="1"/>
  <c r="E34" i="13"/>
  <c r="K9" i="10" s="1"/>
  <c r="T32" i="13"/>
  <c r="T7" i="13"/>
  <c r="T18" i="13" s="1"/>
  <c r="F87" i="13"/>
  <c r="F91" i="13" s="1"/>
  <c r="G7" i="12"/>
  <c r="G18" i="12" s="1"/>
  <c r="G32" i="12"/>
  <c r="E91" i="11"/>
  <c r="L53" i="11"/>
  <c r="M24" i="11"/>
  <c r="F22" i="11"/>
  <c r="F34" i="11" s="1"/>
  <c r="E9" i="10" s="1"/>
  <c r="M34" i="11"/>
  <c r="M24" i="12"/>
  <c r="F22" i="12"/>
  <c r="F34" i="12" s="1"/>
  <c r="M34" i="12"/>
  <c r="M36" i="12" s="1"/>
  <c r="N7" i="13"/>
  <c r="N18" i="13" s="1"/>
  <c r="N32" i="13"/>
  <c r="M18" i="10" s="1"/>
  <c r="L55" i="12"/>
  <c r="M55" i="12" s="1"/>
  <c r="E34" i="12"/>
  <c r="L85" i="12"/>
  <c r="F11" i="8" s="1"/>
  <c r="M22" i="13"/>
  <c r="M24" i="13" s="1"/>
  <c r="U32" i="11"/>
  <c r="U7" i="11"/>
  <c r="U18" i="11" s="1"/>
  <c r="U32" i="12"/>
  <c r="U36" i="12" s="1"/>
  <c r="U7" i="12"/>
  <c r="U18" i="12" s="1"/>
  <c r="F7" i="11"/>
  <c r="F18" i="11" s="1"/>
  <c r="F24" i="11" s="1"/>
  <c r="F32" i="11"/>
  <c r="E7" i="10" s="1"/>
  <c r="N7" i="11"/>
  <c r="N18" i="11" s="1"/>
  <c r="N22" i="11" s="1"/>
  <c r="N32" i="11"/>
  <c r="F18" i="10" s="1"/>
  <c r="G7" i="11"/>
  <c r="G18" i="11" s="1"/>
  <c r="G32" i="11"/>
  <c r="F7" i="10" s="1"/>
  <c r="L53" i="13"/>
  <c r="E91" i="13"/>
  <c r="G87" i="13"/>
  <c r="G91" i="13" s="1"/>
  <c r="U32" i="13"/>
  <c r="U7" i="13"/>
  <c r="U18" i="13" s="1"/>
  <c r="L24" i="11"/>
  <c r="L53" i="12"/>
  <c r="E91" i="12"/>
  <c r="H89" i="11"/>
  <c r="H92" i="11"/>
  <c r="H89" i="12"/>
  <c r="H92" i="12"/>
  <c r="M36" i="11" l="1"/>
  <c r="E22" i="10" s="1"/>
  <c r="E20" i="10"/>
  <c r="T36" i="11"/>
  <c r="E33" i="10" s="1"/>
  <c r="E29" i="10"/>
  <c r="L36" i="11"/>
  <c r="D22" i="10" s="1"/>
  <c r="D20" i="10"/>
  <c r="U36" i="11"/>
  <c r="F33" i="10" s="1"/>
  <c r="F29" i="10"/>
  <c r="U36" i="13"/>
  <c r="M33" i="10" s="1"/>
  <c r="M29" i="10"/>
  <c r="T36" i="13"/>
  <c r="L33" i="10" s="1"/>
  <c r="L29" i="10"/>
  <c r="F36" i="12"/>
  <c r="E7" i="13"/>
  <c r="E18" i="13" s="1"/>
  <c r="E24" i="13" s="1"/>
  <c r="K83" i="13"/>
  <c r="E32" i="13"/>
  <c r="N22" i="12"/>
  <c r="N24" i="12" s="1"/>
  <c r="O7" i="12"/>
  <c r="O18" i="12" s="1"/>
  <c r="O22" i="12" s="1"/>
  <c r="O32" i="12"/>
  <c r="M53" i="11"/>
  <c r="V32" i="13"/>
  <c r="V7" i="13"/>
  <c r="V18" i="13" s="1"/>
  <c r="H87" i="12"/>
  <c r="H91" i="12" s="1"/>
  <c r="V32" i="12"/>
  <c r="V36" i="12" s="1"/>
  <c r="V7" i="12"/>
  <c r="V18" i="12" s="1"/>
  <c r="K83" i="12"/>
  <c r="E9" i="8" s="1"/>
  <c r="E7" i="12"/>
  <c r="E18" i="12" s="1"/>
  <c r="E24" i="12" s="1"/>
  <c r="E32" i="12"/>
  <c r="E36" i="12" s="1"/>
  <c r="M85" i="12"/>
  <c r="L87" i="12"/>
  <c r="N22" i="13"/>
  <c r="N24" i="13" s="1"/>
  <c r="E7" i="11"/>
  <c r="E18" i="11" s="1"/>
  <c r="E24" i="11" s="1"/>
  <c r="K83" i="11"/>
  <c r="C9" i="8" s="1"/>
  <c r="E32" i="11"/>
  <c r="D7" i="10" s="1"/>
  <c r="F7" i="13"/>
  <c r="F18" i="13" s="1"/>
  <c r="F32" i="13"/>
  <c r="L7" i="10" s="1"/>
  <c r="E34" i="11"/>
  <c r="D9" i="10" s="1"/>
  <c r="L85" i="11"/>
  <c r="D11" i="8" s="1"/>
  <c r="L55" i="11"/>
  <c r="M55" i="11" s="1"/>
  <c r="H87" i="11"/>
  <c r="H91" i="11" s="1"/>
  <c r="V32" i="11"/>
  <c r="V7" i="11"/>
  <c r="V18" i="11" s="1"/>
  <c r="H7" i="13"/>
  <c r="H18" i="13" s="1"/>
  <c r="H32" i="13"/>
  <c r="N7" i="10" s="1"/>
  <c r="M53" i="13"/>
  <c r="L57" i="13"/>
  <c r="O7" i="11"/>
  <c r="O18" i="11" s="1"/>
  <c r="O22" i="11" s="1"/>
  <c r="O32" i="11"/>
  <c r="G18" i="10" s="1"/>
  <c r="M53" i="12"/>
  <c r="L57" i="12"/>
  <c r="G7" i="13"/>
  <c r="G18" i="13" s="1"/>
  <c r="G32" i="13"/>
  <c r="M7" i="10" s="1"/>
  <c r="N24" i="11"/>
  <c r="N34" i="11"/>
  <c r="G22" i="11"/>
  <c r="G34" i="11" s="1"/>
  <c r="M34" i="13"/>
  <c r="F22" i="13"/>
  <c r="F34" i="13" s="1"/>
  <c r="L9" i="10" s="1"/>
  <c r="F36" i="11"/>
  <c r="M85" i="13"/>
  <c r="L87" i="13"/>
  <c r="O7" i="13"/>
  <c r="O18" i="13" s="1"/>
  <c r="O22" i="13" s="1"/>
  <c r="O32" i="13"/>
  <c r="N18" i="10" s="1"/>
  <c r="F24" i="12"/>
  <c r="G36" i="11" l="1"/>
  <c r="F11" i="10" s="1"/>
  <c r="F9" i="10"/>
  <c r="M37" i="11"/>
  <c r="E11" i="10"/>
  <c r="N36" i="11"/>
  <c r="F22" i="10" s="1"/>
  <c r="F20" i="10"/>
  <c r="V36" i="11"/>
  <c r="G33" i="10" s="1"/>
  <c r="G29" i="10"/>
  <c r="E36" i="13"/>
  <c r="K7" i="10"/>
  <c r="M36" i="13"/>
  <c r="L22" i="10" s="1"/>
  <c r="L20" i="10"/>
  <c r="V36" i="13"/>
  <c r="N33" i="10" s="1"/>
  <c r="N29" i="10"/>
  <c r="L57" i="11"/>
  <c r="F36" i="13"/>
  <c r="K87" i="12"/>
  <c r="K86" i="12" s="1"/>
  <c r="M83" i="12"/>
  <c r="M83" i="13"/>
  <c r="K87" i="13"/>
  <c r="K86" i="13" s="1"/>
  <c r="O24" i="11"/>
  <c r="H22" i="11"/>
  <c r="H34" i="11" s="1"/>
  <c r="G9" i="10" s="1"/>
  <c r="O34" i="11"/>
  <c r="H7" i="11"/>
  <c r="H18" i="11" s="1"/>
  <c r="H32" i="11"/>
  <c r="G7" i="10" s="1"/>
  <c r="M85" i="11"/>
  <c r="L87" i="11"/>
  <c r="O24" i="13"/>
  <c r="H22" i="13"/>
  <c r="H34" i="13" s="1"/>
  <c r="O34" i="13"/>
  <c r="N37" i="11"/>
  <c r="L56" i="12"/>
  <c r="K56" i="12"/>
  <c r="E36" i="11"/>
  <c r="M83" i="11"/>
  <c r="K87" i="11"/>
  <c r="K86" i="11" s="1"/>
  <c r="N34" i="13"/>
  <c r="G22" i="13"/>
  <c r="G34" i="13" s="1"/>
  <c r="H7" i="12"/>
  <c r="H18" i="12" s="1"/>
  <c r="H32" i="12"/>
  <c r="K56" i="11"/>
  <c r="L56" i="11"/>
  <c r="O24" i="12"/>
  <c r="O34" i="12"/>
  <c r="O36" i="12" s="1"/>
  <c r="H22" i="12"/>
  <c r="H34" i="12" s="1"/>
  <c r="K56" i="13"/>
  <c r="L56" i="13"/>
  <c r="F24" i="13"/>
  <c r="G24" i="11"/>
  <c r="N34" i="12"/>
  <c r="N36" i="12" s="1"/>
  <c r="G22" i="12"/>
  <c r="C13" i="8"/>
  <c r="D13" i="8"/>
  <c r="E13" i="8"/>
  <c r="F13" i="8"/>
  <c r="O36" i="11" l="1"/>
  <c r="G22" i="10" s="1"/>
  <c r="G20" i="10"/>
  <c r="L37" i="11"/>
  <c r="D11" i="10"/>
  <c r="E12" i="8"/>
  <c r="G36" i="13"/>
  <c r="M11" i="10" s="1"/>
  <c r="M9" i="10"/>
  <c r="O36" i="13"/>
  <c r="N20" i="10"/>
  <c r="N36" i="13"/>
  <c r="M22" i="10" s="1"/>
  <c r="M20" i="10"/>
  <c r="H36" i="13"/>
  <c r="N11" i="10" s="1"/>
  <c r="N9" i="10"/>
  <c r="C12" i="8"/>
  <c r="M37" i="13"/>
  <c r="L11" i="10"/>
  <c r="L37" i="13"/>
  <c r="K11" i="10"/>
  <c r="H36" i="11"/>
  <c r="H24" i="11"/>
  <c r="L86" i="12"/>
  <c r="F12" i="8"/>
  <c r="H24" i="12"/>
  <c r="G34" i="12"/>
  <c r="G36" i="12" s="1"/>
  <c r="G24" i="12"/>
  <c r="D12" i="8"/>
  <c r="N37" i="13"/>
  <c r="H36" i="12"/>
  <c r="L86" i="11"/>
  <c r="H24" i="13"/>
  <c r="G24" i="13"/>
  <c r="L86" i="13"/>
  <c r="O37" i="11" l="1"/>
  <c r="G11" i="10"/>
  <c r="O37" i="13"/>
  <c r="N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tc={3AA57A0D-7370-40BA-953A-F74624C6A79E}</author>
    <author>tc={2935C9F3-1964-4694-83EA-E988425298D2}</author>
    <author>tc={CBD04B97-2ACC-4D6D-82FA-A49CA5893444}</author>
    <author>tc={D95554EB-2777-442C-9CDE-4DA3A543F5C7}</author>
    <author>tc={01F7CB36-5B57-47E7-B0DB-AC726F464401}</author>
    <author>tc={B30938A0-4700-4C87-BDA9-2948163C4600}</author>
    <author>tc={B31AD8B1-F7DF-434A-8943-4F648C5D6AFE}</author>
    <author>tc={1F17F1B5-87A9-40F7-A680-1C126F20DEA2}</author>
    <author>tc={CE3F339F-1400-4088-AF08-149C08AD4381}</author>
    <author>tc={8CEB3730-26B2-449C-A5B0-7601B287E005}</author>
    <author>tc={1B590A37-9861-47D3-8AC3-4E6177313F87}</author>
    <author>tc={AA0A471C-22EF-40EC-A62B-32D0D2780C2C}</author>
    <author>tc={9B4700DB-222D-418B-B56B-276D5E1955F8}</author>
    <author>tc={8C22A179-BEE9-45DF-8B1F-81D13A172752}</author>
    <author>tc={FA6B9F41-8D7B-4C32-B3F9-266F6806234D}</author>
    <author>tc={F4BBDFAC-F88F-4265-88F8-25AF683D311C}</author>
  </authors>
  <commentList>
    <comment ref="C9" authorId="0" shapeId="0" xr:uid="{3AA57A0D-7370-40BA-953A-F74624C6A79E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9" authorId="1" shapeId="0" xr:uid="{2935C9F3-1964-4694-83EA-E988425298D2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9" authorId="2" shapeId="0" xr:uid="{CBD04B97-2ACC-4D6D-82FA-A49CA5893444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0" authorId="3" shapeId="0" xr:uid="{D95554EB-2777-442C-9CDE-4DA3A543F5C7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10" authorId="4" shapeId="0" xr:uid="{01F7CB36-5B57-47E7-B0DB-AC726F464401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10" authorId="5" shapeId="0" xr:uid="{B30938A0-4700-4C87-BDA9-2948163C4600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1" authorId="6" shapeId="0" xr:uid="{B31AD8B1-F7DF-434A-8943-4F648C5D6AFE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11" authorId="7" shapeId="0" xr:uid="{1F17F1B5-87A9-40F7-A680-1C126F20DEA2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11" authorId="8" shapeId="0" xr:uid="{CE3F339F-1400-4088-AF08-149C08AD4381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22" authorId="9" shapeId="0" xr:uid="{8CEB3730-26B2-449C-A5B0-7601B287E005}">
      <text>
        <t>[Threaded comment]
Your version of Excel allows you to read this threaded comment; however, any edits to it will get removed if the file is opened in a newer version of Excel. Learn more: https://go.microsoft.com/fwlink/?linkid=870924
Comment:
    Základ daně bez DPH</t>
      </text>
    </comment>
    <comment ref="B99" authorId="10" shapeId="0" xr:uid="{1B590A37-9861-47D3-8AC3-4E6177313F87}">
      <text>
        <t>[Threaded comment]
Your version of Excel allows you to read this threaded comment; however, any edits to it will get removed if the file is opened in a newer version of Excel. Learn more: https://go.microsoft.com/fwlink/?linkid=870924
Comment:
    Odhad</t>
      </text>
    </comment>
    <comment ref="C107" authorId="11" shapeId="0" xr:uid="{AA0A471C-22EF-40EC-A62B-32D0D2780C2C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B109" authorId="12" shapeId="0" xr:uid="{9B4700DB-222D-418B-B56B-276D5E1955F8}">
      <text>
        <t>[Threaded comment]
Your version of Excel allows you to read this threaded comment; however, any edits to it will get removed if the file is opened in a newer version of Excel. Learn more: https://go.microsoft.com/fwlink/?linkid=870924
Comment:
    Odhad</t>
      </text>
    </comment>
    <comment ref="C113" authorId="13" shapeId="0" xr:uid="{8C22A179-BEE9-45DF-8B1F-81D13A172752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36" authorId="14" shapeId="0" xr:uid="{FA6B9F41-8D7B-4C32-B3F9-266F6806234D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D148" authorId="15" shapeId="0" xr:uid="{F4BBDFAC-F88F-4265-88F8-25AF683D311C}">
      <text>
        <t>[Threaded comment]
Your version of Excel allows you to read this threaded comment; however, any edits to it will get removed if the file is opened in a newer version of Excel. Learn more: https://go.microsoft.com/fwlink/?linkid=870924
Comment:
    Vratka DPH za rok 2019 (konference 100 let)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tc={8626CCBC-BE03-4861-874C-494B8221C776}</author>
  </authors>
  <commentList>
    <comment ref="E3" authorId="0" shapeId="0" xr:uid="{8626CCBC-BE03-4861-874C-494B8221C776}">
      <text>
        <t>[Threaded comment]
Your version of Excel allows you to read this threaded comment; however, any edits to it will get removed if the file is opened in a newer version of Excel. Learn more: https://go.microsoft.com/fwlink/?linkid=870924
Comment:
    Realita v 2019</t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KJ8bZRaAlYrP8Ri58vTMk+EWjp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tc={053AF3B3-7165-433A-98CA-4D67BC0351F0}</author>
    <author>tc={B103CBF4-8F43-4EA8-8CDA-57035821D0FD}</author>
    <author>tc={AE719882-8990-4D18-A391-479C66255189}</author>
    <author>tc={48AB1404-4FBA-428F-BC53-2AA8B9911858}</author>
    <author>tc={9B008D09-8445-4E17-AE88-C1FB6AADCA4D}</author>
    <author>tc={AED42E63-12D6-45AA-941A-75A4A5E572A7}</author>
    <author>tc={6EDA9935-FA7E-4572-BB7A-812C2D62EC85}</author>
    <author>tc={BFB0C36B-63A0-4AC1-B322-867F8FA2E60F}</author>
    <author>tc={F8B4A094-6469-4D18-9693-84E9938CCE46}</author>
    <author>tc={904EA088-A975-4675-8B8D-87516B4E88FA}</author>
    <author>tc={B953CB16-DB8A-47A3-8DE3-BB54FF8FA0C4}</author>
    <author>tc={45A475F1-3AC2-4F5F-B580-54C490A0B6EC}</author>
    <author>tc={38CCAAE9-464A-4152-84E7-B61E11DAA71F}</author>
    <author>tc={06B66F46-FDA3-46ED-B307-F202DCF024D3}</author>
    <author>tc={DC8D333D-EC8A-474E-A511-AA35F0E4B09C}</author>
    <author>tc={F754BCB6-BC5C-4422-B61B-DFDC204BEA07}</author>
  </authors>
  <commentList>
    <comment ref="C9" authorId="0" shapeId="0" xr:uid="{053AF3B3-7165-433A-98CA-4D67BC0351F0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9" authorId="1" shapeId="0" xr:uid="{B103CBF4-8F43-4EA8-8CDA-57035821D0FD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9" authorId="2" shapeId="0" xr:uid="{AE719882-8990-4D18-A391-479C66255189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0" authorId="3" shapeId="0" xr:uid="{48AB1404-4FBA-428F-BC53-2AA8B9911858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10" authorId="4" shapeId="0" xr:uid="{9B008D09-8445-4E17-AE88-C1FB6AADCA4D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10" authorId="5" shapeId="0" xr:uid="{AED42E63-12D6-45AA-941A-75A4A5E572A7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1" authorId="6" shapeId="0" xr:uid="{6EDA9935-FA7E-4572-BB7A-812C2D62EC85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11" authorId="7" shapeId="0" xr:uid="{BFB0C36B-63A0-4AC1-B322-867F8FA2E60F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11" authorId="8" shapeId="0" xr:uid="{F8B4A094-6469-4D18-9693-84E9938CCE46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22" authorId="9" shapeId="0" xr:uid="{904EA088-A975-4675-8B8D-87516B4E88FA}">
      <text>
        <t>[Threaded comment]
Your version of Excel allows you to read this threaded comment; however, any edits to it will get removed if the file is opened in a newer version of Excel. Learn more: https://go.microsoft.com/fwlink/?linkid=870924
Comment:
    ======
ID#AAAAKaR4a_o
tc={30F0AC93-5F81-4094-AD24-45F3BB99DE66}    (2020-09-30 09:59:30)
[Threaded comment]
Your version of Excel allows you to read this threaded comment; however, any edits to it will get removed if the file is opened in a newer version of Excel. Learn more: https://go.microsoft.com/fwlink/?linkid=870924
Comment:
    Základ daně bez DPH</t>
      </text>
    </comment>
    <comment ref="B99" authorId="10" shapeId="0" xr:uid="{B953CB16-DB8A-47A3-8DE3-BB54FF8FA0C4}">
      <text>
        <t>[Threaded comment]
Your version of Excel allows you to read this threaded comment; however, any edits to it will get removed if the file is opened in a newer version of Excel. Learn more: https://go.microsoft.com/fwlink/?linkid=870924
Comment:
    Odhad</t>
      </text>
    </comment>
    <comment ref="C107" authorId="11" shapeId="0" xr:uid="{45A475F1-3AC2-4F5F-B580-54C490A0B6EC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B109" authorId="12" shapeId="0" xr:uid="{38CCAAE9-464A-4152-84E7-B61E11DAA71F}">
      <text>
        <t>[Threaded comment]
Your version of Excel allows you to read this threaded comment; however, any edits to it will get removed if the file is opened in a newer version of Excel. Learn more: https://go.microsoft.com/fwlink/?linkid=870924
Comment:
    Odhad</t>
      </text>
    </comment>
    <comment ref="C113" authorId="13" shapeId="0" xr:uid="{06B66F46-FDA3-46ED-B307-F202DCF024D3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36" authorId="14" shapeId="0" xr:uid="{DC8D333D-EC8A-474E-A511-AA35F0E4B09C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D148" authorId="15" shapeId="0" xr:uid="{F754BCB6-BC5C-4422-B61B-DFDC204BEA07}">
      <text>
        <t>[Threaded comment]
Your version of Excel allows you to read this threaded comment; however, any edits to it will get removed if the file is opened in a newer version of Excel. Learn more: https://go.microsoft.com/fwlink/?linkid=870924
Comment:
    Vratka DPH za rok 2019 (konference 100 let)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tc={E8B5C21E-542F-41AC-AF22-2FDA8A42FE42}</author>
    <author>tc={C82F6328-BCC0-4F67-8F53-D1E985A46A25}</author>
    <author>tc={AF552D3C-B377-4FD2-B72B-957F65FB790C}</author>
    <author>tc={8C5EEB12-16E4-4C61-BBF3-5DF6AF5990C4}</author>
    <author>tc={23FD5B95-4A44-4618-9DD6-CE0025B908B0}</author>
    <author>tc={0507538C-EE4C-49B9-9378-9B42B390C8B9}</author>
    <author>tc={10DC0115-D7AF-4B05-A5C3-70F898F1F827}</author>
    <author>tc={C8374E93-51EA-4D1A-9EA6-B7F9B8844518}</author>
    <author>tc={62024359-9C45-41E7-887C-7B9804747BFB}</author>
    <author>tc={7C24A71A-CED1-494C-9ACD-19A17E7D6C66}</author>
    <author>tc={F5121810-4DB2-4CC0-83C1-09BB900841FF}</author>
    <author>tc={6B0C3D88-7298-4907-8B1A-CDF21596F5FE}</author>
    <author>tc={A24F93CC-4F25-4A98-ABB0-53C4C62786F9}</author>
    <author>tc={BB37D89A-B989-4D24-B7B3-FDBE419E1AEF}</author>
    <author>tc={30A117B8-CD97-4FDC-8E34-77C145E875C3}</author>
  </authors>
  <commentList>
    <comment ref="C9" authorId="0" shapeId="0" xr:uid="{E8B5C21E-542F-41AC-AF22-2FDA8A42FE42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9" authorId="1" shapeId="0" xr:uid="{C82F6328-BCC0-4F67-8F53-D1E985A46A25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9" authorId="2" shapeId="0" xr:uid="{AF552D3C-B377-4FD2-B72B-957F65FB790C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0" authorId="3" shapeId="0" xr:uid="{8C5EEB12-16E4-4C61-BBF3-5DF6AF5990C4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10" authorId="4" shapeId="0" xr:uid="{23FD5B95-4A44-4618-9DD6-CE0025B908B0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10" authorId="5" shapeId="0" xr:uid="{0507538C-EE4C-49B9-9378-9B42B390C8B9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1" authorId="6" shapeId="0" xr:uid="{10DC0115-D7AF-4B05-A5C3-70F898F1F827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J11" authorId="7" shapeId="0" xr:uid="{C8374E93-51EA-4D1A-9EA6-B7F9B8844518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Q11" authorId="8" shapeId="0" xr:uid="{62024359-9C45-41E7-887C-7B9804747BFB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22" authorId="9" shapeId="0" xr:uid="{7C24A71A-CED1-494C-9ACD-19A17E7D6C66}">
      <text>
        <t>[Threaded comment]
Your version of Excel allows you to read this threaded comment; however, any edits to it will get removed if the file is opened in a newer version of Excel. Learn more: https://go.microsoft.com/fwlink/?linkid=870924
Comment:
    Základ daně bez DPH</t>
      </text>
    </comment>
    <comment ref="C107" authorId="10" shapeId="0" xr:uid="{F5121810-4DB2-4CC0-83C1-09BB900841FF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B109" authorId="11" shapeId="0" xr:uid="{6B0C3D88-7298-4907-8B1A-CDF21596F5FE}">
      <text>
        <t>[Threaded comment]
Your version of Excel allows you to read this threaded comment; however, any edits to it will get removed if the file is opened in a newer version of Excel. Learn more: https://go.microsoft.com/fwlink/?linkid=870924
Comment:
    ======
ID#AAAAKaR4bAQ
tc={7019E7E0-B7F4-40CE-8104-8E32E783763E}    (2020-09-30 09:59:30)
[Threaded comment]
Your version of Excel allows you to read this threaded comment; however, any edits to it will get removed if the file is opened in a newer version of Excel. Learn more: https://go.microsoft.com/fwlink/?linkid=870924
Comment:
    odhad</t>
      </text>
    </comment>
    <comment ref="C113" authorId="12" shapeId="0" xr:uid="{A24F93CC-4F25-4A98-ABB0-53C4C62786F9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C136" authorId="13" shapeId="0" xr:uid="{BB37D89A-B989-4D24-B7B3-FDBE419E1AEF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 rozložený v čase</t>
      </text>
    </comment>
    <comment ref="D148" authorId="14" shapeId="0" xr:uid="{30A117B8-CD97-4FDC-8E34-77C145E875C3}">
      <text>
        <t>[Threaded comment]
Your version of Excel allows you to read this threaded comment; however, any edits to it will get removed if the file is opened in a newer version of Excel. Learn more: https://go.microsoft.com/fwlink/?linkid=870924
Comment:
    Vratka DPH za rok 2019 (konference 100 let)</t>
      </text>
    </comment>
  </commentList>
</comments>
</file>

<file path=xl/sharedStrings.xml><?xml version="1.0" encoding="utf-8"?>
<sst xmlns="http://schemas.openxmlformats.org/spreadsheetml/2006/main" count="915" uniqueCount="282">
  <si>
    <t>Shrnutí a poznámky k modelu:</t>
  </si>
  <si>
    <t>Tento soubor obsahuje model financování ČSpA na roky 2021 - 2024 a podpůrné listy. Model je na listě BP_Actuaria_2020.</t>
  </si>
  <si>
    <t>Model slouží zejména jako nástroj pro ověření, zda je financování ČSpA z příspěvků spravedlivé a zda nám bude umožňovat plnit všechny cíle, které jsme si v rámci vize stanovili.</t>
  </si>
  <si>
    <t>Model tedy nepředstavuje rozpočet na následující roky. Ale na základě tohoto modelu bude pak aktuální rozpočet připraven.</t>
  </si>
  <si>
    <t>Z tohoto důvodu jsou některé náklady rozložené proporčně v čase (označené šedivou barvou) - jedná se tedy o průměrnou částku na rok. V reálu je ale možné, že odpovídající násobek částky je vyplacen jednou za několik let.</t>
  </si>
  <si>
    <t>Model zachycuje všechny hlavní pěněžní toky ČSpA (menší částky jako poplatky ze vedení účtu apod. nejsou postihnuté).</t>
  </si>
  <si>
    <t xml:space="preserve">Základem modelu je projekce počtu členů ČSpA, která vychází z počtu členů společnosti na počátku roku 2020. </t>
  </si>
  <si>
    <t>Počet nových členů je pro rok 2020 nastaven dle informací, které máme doposud (k 25.9.2020) k dispozici.</t>
  </si>
  <si>
    <t>Počet nových členů je pak pro další roky naším nejlepším odhadem na základě předchozích let.</t>
  </si>
  <si>
    <t>To samé platí i pro počet ukončených členství, nových certifikátů a certifikátů CERA.</t>
  </si>
  <si>
    <t>Některé náklady by měly růst v čase spolu s růstem počtu členů společnosti. Nepředpokládáme ale významný dopad tohoto předpokladu, proto jsme ho v modelaci neuvažovali.</t>
  </si>
  <si>
    <t>JAS je v modelu uvažován pro 100 účastníků. Jedná se o realistický předpoklad. Vyšší počet účastníků přináší vyšší zisk (a to i relativně vůči nákladům), který může pak sloužit k naplňování dalších cílů naší vize.</t>
  </si>
  <si>
    <t>JAS je koncipován tak, aby zisk vycházel přibližně kolem nuly pro 60 účastníků.</t>
  </si>
  <si>
    <t xml:space="preserve">Pro účely nastavení spravedlivých příspěvků uvažujeme zvlášť příspěvek za členství, který platí všichni členové ČSpA. </t>
  </si>
  <si>
    <t>Dále pak uvažujeme příspěvek za certifikát a příspěvek za certifikát CERA (tj. v obou případech se jedná o částku nad rámec příspěvku za členství, kterou platí pouze držitelé těchto certifikátů).</t>
  </si>
  <si>
    <t xml:space="preserve">Cílem je, aby příspěvky členů hradily provoz ČSpA. </t>
  </si>
  <si>
    <t>Dále pak je cílem, aby příspěvky certifikovaných členů nad rámec příspěvku za členství pokrývaly členství v mezinárodních organizací, jichž jsou také členy.</t>
  </si>
  <si>
    <t>V dlouhodobém horizontu je cílem, aby příspěvky za CERA certifikát hradily poplatky DAV za CERA certifikaci. V krátkodobém horizintu budeme tyto platby hradit z rezerv, jak bylo odsouhlaseno na valné hromadě v prosinci 2019.</t>
  </si>
  <si>
    <t>Z porovnání očekávných příjmů a výdajů v roce 2021 je patrné, že bez navýšení příspěvku za certifikát nebude platit, že příspěvky za certifikát pokrývají platby za členství v mezinárodních organizacích.</t>
  </si>
  <si>
    <t xml:space="preserve">Z tohoto důvodu navrhujeme navýšit příspěvek pro členy s certifikátem, který platí nad rámec příspěvku za standardní členství. Detailnější zdůvodnění je v průvodním dopise. </t>
  </si>
  <si>
    <t>Pro účely porovnání stavu před navýšením a po navýšení tohoto příspěvku slouží list BP_Actuaria_2020_bez úpravy.</t>
  </si>
  <si>
    <t>Na tomto listě je projekce příjmů a výdajů odvozená pro  stávající skladbu příspěvků. Výdaje zůstávají stejné jako ve variantě s navýšenými příspěvky. Nejedná se tedy o realistickou variantu, ale pouze o ilustraci disproporce mezi výdaji a příjmy z příspěvků.</t>
  </si>
  <si>
    <t>Pokud by nedošlo k navýšení příspěvků pro certifikované členy, tak by v reálu došlo k snížení některých zamýšlených výdajů. O tom, jaké výdaje a o jakou částku by byly sníženy, by bylo nutné dále diskutovat.</t>
  </si>
  <si>
    <t>Zdroj: List "Graf"</t>
  </si>
  <si>
    <t>Souhrn:</t>
  </si>
  <si>
    <t>S DPH</t>
  </si>
  <si>
    <t>Bez DPH</t>
  </si>
  <si>
    <t>DPH</t>
  </si>
  <si>
    <t>Počáteční stav</t>
  </si>
  <si>
    <t>Příspěvky</t>
  </si>
  <si>
    <t xml:space="preserve">Mezinárodní členství </t>
  </si>
  <si>
    <t>JAS</t>
  </si>
  <si>
    <t>Podzimní seminář</t>
  </si>
  <si>
    <t>Seminář MFF, SVOČ</t>
  </si>
  <si>
    <t>Propagační předměty</t>
  </si>
  <si>
    <t>Publikace - podpora</t>
  </si>
  <si>
    <t>Valná hromada</t>
  </si>
  <si>
    <t>Web</t>
  </si>
  <si>
    <t>Vedení účetnictví</t>
  </si>
  <si>
    <t>Konference</t>
  </si>
  <si>
    <t>Sponzoři</t>
  </si>
  <si>
    <t>Pohyb</t>
  </si>
  <si>
    <t>DPH - vratka</t>
  </si>
  <si>
    <t>Daň z příjmu</t>
  </si>
  <si>
    <t>Výsledek celkem</t>
  </si>
  <si>
    <t>Koncový stav</t>
  </si>
  <si>
    <t>Po oblastech činnosti:</t>
  </si>
  <si>
    <t>Příspěvky/Provoz</t>
  </si>
  <si>
    <t>Příplatek za osvědčení/Mezinárodní členství</t>
  </si>
  <si>
    <t>CERA</t>
  </si>
  <si>
    <t>Vzdělávání/publikace</t>
  </si>
  <si>
    <t>Setkání po valné hromadě</t>
  </si>
  <si>
    <t>Daně</t>
  </si>
  <si>
    <t>Pohyb celkem</t>
  </si>
  <si>
    <t>Detailní pohyby:</t>
  </si>
  <si>
    <t>Inflace</t>
  </si>
  <si>
    <t>Počet členů</t>
  </si>
  <si>
    <t>Počet členů BoP</t>
  </si>
  <si>
    <t>Nové členství</t>
  </si>
  <si>
    <t>Ukončení</t>
  </si>
  <si>
    <t>Počet členů EoP</t>
  </si>
  <si>
    <t>Z toho s certifikátem</t>
  </si>
  <si>
    <t>Nový certifikát</t>
  </si>
  <si>
    <t>Z toho s CERA</t>
  </si>
  <si>
    <t>Rok 2021 (s DPH) - detail:</t>
  </si>
  <si>
    <t>Nová CERA</t>
  </si>
  <si>
    <t>Příjem</t>
  </si>
  <si>
    <t>Výdej</t>
  </si>
  <si>
    <t>Výsledek</t>
  </si>
  <si>
    <t>Dlužníci</t>
  </si>
  <si>
    <t>Členové celkem</t>
  </si>
  <si>
    <t>Příspěvek</t>
  </si>
  <si>
    <t>Neuvažuje se inflace</t>
  </si>
  <si>
    <t>Celkem bez osvědčení</t>
  </si>
  <si>
    <t>Certifikovaní</t>
  </si>
  <si>
    <t>Příspěvek za osvědčení</t>
  </si>
  <si>
    <t>Zisk/ztráta</t>
  </si>
  <si>
    <t>Celkem</t>
  </si>
  <si>
    <t>Počet členů s CERA</t>
  </si>
  <si>
    <t>Příspěvek za CERA</t>
  </si>
  <si>
    <t>Porovnání příspěvků certifikovaných členů &amp; CERA s platbami za členství v mezinárodních organizacích</t>
  </si>
  <si>
    <t>Dostaneme certifikát &amp; CERA</t>
  </si>
  <si>
    <t>Vstupní poplatek</t>
  </si>
  <si>
    <t>Dáme členství</t>
  </si>
  <si>
    <t>Dlužná částka</t>
  </si>
  <si>
    <t>Dluh</t>
  </si>
  <si>
    <t>Doplatky dluhu</t>
  </si>
  <si>
    <t>Celkem s DPH</t>
  </si>
  <si>
    <t>Celkem bez DPH</t>
  </si>
  <si>
    <t>Mezinárodní organizace</t>
  </si>
  <si>
    <t>Členství IAA</t>
  </si>
  <si>
    <t>Členství EAA</t>
  </si>
  <si>
    <t>Rok 2021 - JAS a podzimní seminář na netto bázi (v tis. Kč, s DPH)</t>
  </si>
  <si>
    <t>Průměrný příspěvek</t>
  </si>
  <si>
    <t>Příjmy s DPH</t>
  </si>
  <si>
    <t>Příjmy bez DPH</t>
  </si>
  <si>
    <t>nastaveno tak, aby výsledek po zohlednění DPH byl 0</t>
  </si>
  <si>
    <t>Seminář s MFF, SVOČ</t>
  </si>
  <si>
    <t>pokud je to platba škole, nemělo by být DPH</t>
  </si>
  <si>
    <t>Web - správa</t>
  </si>
  <si>
    <t>Publikace</t>
  </si>
  <si>
    <t>Účetnictví</t>
  </si>
  <si>
    <t>Příjem bez DPH</t>
  </si>
  <si>
    <t>Vratka</t>
  </si>
  <si>
    <t>Realita 2019</t>
  </si>
  <si>
    <t>Počet účastníků</t>
  </si>
  <si>
    <t>Odhad 16 lidí zdarma - organizátoři a přednášející</t>
  </si>
  <si>
    <t>x</t>
  </si>
  <si>
    <t>Základní cena před uplatněním slev</t>
  </si>
  <si>
    <t>Do loňska byla 7000. Sleva za předchozí účast 500 a sleva za členství 1000</t>
  </si>
  <si>
    <t>Vybráno celkem</t>
  </si>
  <si>
    <t>nerozlišovali jsme s / bez DPH</t>
  </si>
  <si>
    <t>Náklady celkem</t>
  </si>
  <si>
    <t>Zisk</t>
  </si>
  <si>
    <t>Důvody pro zvýšení ceny</t>
  </si>
  <si>
    <t>Vyšší fixní náklady (sál, večerní aktivita - únikovka+návštěva Průhonického parku)</t>
  </si>
  <si>
    <t>Efekt DPH (nákladová DPH 16%, DPH z výnosů přímo ovlivňuje ziskovou část)</t>
  </si>
  <si>
    <t xml:space="preserve">JAS je v plánu uvažován na bázi 100 účastníků (realistický předpoklad). </t>
  </si>
  <si>
    <t>Poplatek za JAS nastaven tak, aby při cca 60 účastnících byl JAS kolem nulového zisku.</t>
  </si>
  <si>
    <t>Rok 2020 je uvažován v původní variantě, tj. osobní setkání, ne online verze.</t>
  </si>
  <si>
    <t>2019 vynosy</t>
  </si>
  <si>
    <t>Poznamka</t>
  </si>
  <si>
    <t>Prumerny registracni poplatek</t>
  </si>
  <si>
    <t>2019 naklady</t>
  </si>
  <si>
    <t>Cena s DPH</t>
  </si>
  <si>
    <t>Cena bez DPH</t>
  </si>
  <si>
    <t>DPH sazba</t>
  </si>
  <si>
    <t>Prumerna cena stravovani</t>
  </si>
  <si>
    <t>Prumerna cena alkoholicke napoje</t>
  </si>
  <si>
    <t>Prumerna cena ubytovani</t>
  </si>
  <si>
    <t>Prumerna cena skoleni</t>
  </si>
  <si>
    <t>Prumerna cena za sportoviste</t>
  </si>
  <si>
    <t>2020 fixni naklady</t>
  </si>
  <si>
    <t>Kongresovy sal 1. den</t>
  </si>
  <si>
    <t>Kongresovy sal 2. den</t>
  </si>
  <si>
    <t>Technicka obsluha (2 dny)</t>
  </si>
  <si>
    <t>Mikrofon bezdratovy 1. den</t>
  </si>
  <si>
    <t>Mikrofon bezdratovy 2. den</t>
  </si>
  <si>
    <t>Mix pult + ozvuceni salu 1. den</t>
  </si>
  <si>
    <t>Mix pult + ozvuceni salu 2. den</t>
  </si>
  <si>
    <t>Maly sal</t>
  </si>
  <si>
    <t>&lt;- Maly sal nebude, proto ta nula.</t>
  </si>
  <si>
    <t>Unikova hra</t>
  </si>
  <si>
    <t>Komentovana prohlidka</t>
  </si>
  <si>
    <t>2020 variabilni naklady</t>
  </si>
  <si>
    <t>Komentovana prohlidka - vstupné / 1 osoba</t>
  </si>
  <si>
    <t>od 1.7. bude 10%</t>
  </si>
  <si>
    <t>Stravovani / 1 osoba</t>
  </si>
  <si>
    <t>Alkoholicke napoje / 1 osoba</t>
  </si>
  <si>
    <t>3-luzkove pokoje (ubytovani prvnich 30 osob)</t>
  </si>
  <si>
    <t>2-luzkovy pokoj</t>
  </si>
  <si>
    <t>Predpoklady</t>
  </si>
  <si>
    <t>1) Zajem o komentovanou prohlidku</t>
  </si>
  <si>
    <t>Cena</t>
  </si>
  <si>
    <t>Navýšení</t>
  </si>
  <si>
    <t>Poplatek za JAS/os</t>
  </si>
  <si>
    <t>2020 naklady celkem</t>
  </si>
  <si>
    <t>Celkove naklady s DPH</t>
  </si>
  <si>
    <t>Fixni naklady</t>
  </si>
  <si>
    <t>Stravovani</t>
  </si>
  <si>
    <t>Alkoholicke napoje</t>
  </si>
  <si>
    <t>Ubytovani</t>
  </si>
  <si>
    <t>Prumerne naklady s DPH</t>
  </si>
  <si>
    <t>Celkove naklady bez DPH</t>
  </si>
  <si>
    <t>Prumerne naklady bez DPH</t>
  </si>
  <si>
    <t>Příjem za seminář ("s DPH")</t>
  </si>
  <si>
    <t>Příjem za seminář při navýšení ("s DPH")</t>
  </si>
  <si>
    <t>Pocet 2-luzkovych pokoju</t>
  </si>
  <si>
    <t>Pocet lidi na komentovanou prohlidku</t>
  </si>
  <si>
    <t>člen</t>
  </si>
  <si>
    <t>člen + loňská účast</t>
  </si>
  <si>
    <t>nečlen</t>
  </si>
  <si>
    <t>nečlen + loňská účast</t>
  </si>
  <si>
    <t>Organizátoři, přednášející</t>
  </si>
  <si>
    <t>Počet platících účastníků</t>
  </si>
  <si>
    <t xml:space="preserve">Bez DPH </t>
  </si>
  <si>
    <t>počet 2019</t>
  </si>
  <si>
    <t>2019 Vybráno celkem</t>
  </si>
  <si>
    <t>průměr 2019</t>
  </si>
  <si>
    <t>2019 Náklady celkem</t>
  </si>
  <si>
    <t>2019 'zisk'</t>
  </si>
  <si>
    <t>počet 2020 při 100 os</t>
  </si>
  <si>
    <t>bez DPH, navýšení</t>
  </si>
  <si>
    <t>bez DPH, původní cena</t>
  </si>
  <si>
    <t>zdražení 2020 při 100os</t>
  </si>
  <si>
    <t>100os</t>
  </si>
  <si>
    <t>2020 Vybráno celkem</t>
  </si>
  <si>
    <t>průměr 2020 (100 osob)</t>
  </si>
  <si>
    <t>2020 Náklady celkem</t>
  </si>
  <si>
    <t>2020 'zisk'</t>
  </si>
  <si>
    <t>cíl 130-150</t>
  </si>
  <si>
    <t>počet 2020 při 60 os</t>
  </si>
  <si>
    <t>zdražení 2020 při 60os</t>
  </si>
  <si>
    <t>60os</t>
  </si>
  <si>
    <t>průměr 2020 (60 osob)</t>
  </si>
  <si>
    <t>cíl 0</t>
  </si>
  <si>
    <t>počet přednášejících</t>
  </si>
  <si>
    <t>počet organizátorů</t>
  </si>
  <si>
    <t>Česká společnost aktuárů 30. - 31. 5. 2019</t>
  </si>
  <si>
    <t xml:space="preserve">1) Ubytování  </t>
  </si>
  <si>
    <r>
      <rPr>
        <sz val="13"/>
        <color rgb="FFFF0000"/>
        <rFont val="Century"/>
      </rPr>
      <t>29.-31.5.</t>
    </r>
    <r>
      <rPr>
        <sz val="13"/>
        <rFont val="Century"/>
      </rPr>
      <t>, 1/1 (1.100,-/pokoj a noc)</t>
    </r>
  </si>
  <si>
    <r>
      <rPr>
        <sz val="13"/>
        <color rgb="FFFF0000"/>
        <rFont val="Century"/>
      </rPr>
      <t>30.-31.5.</t>
    </r>
    <r>
      <rPr>
        <sz val="13"/>
        <rFont val="Century"/>
      </rPr>
      <t>, 7/2 (1.500,-/pokoj a noc)</t>
    </r>
  </si>
  <si>
    <r>
      <rPr>
        <sz val="13"/>
        <color rgb="FFFF0000"/>
        <rFont val="Century"/>
      </rPr>
      <t>30.-31.5.</t>
    </r>
    <r>
      <rPr>
        <sz val="13"/>
        <rFont val="Century"/>
      </rPr>
      <t>, 15/3 (2.000,-/pokoj a noc)</t>
    </r>
  </si>
  <si>
    <r>
      <rPr>
        <sz val="13"/>
        <color rgb="FFFF0000"/>
        <rFont val="Century"/>
      </rPr>
      <t>30.-31.5.</t>
    </r>
    <r>
      <rPr>
        <sz val="13"/>
        <rFont val="Century"/>
      </rPr>
      <t>, 7/4 (2.500,-/pokoj a noc)</t>
    </r>
  </si>
  <si>
    <r>
      <rPr>
        <sz val="13"/>
        <color rgb="FFFF0000"/>
        <rFont val="Century"/>
      </rPr>
      <t>30.-31.5.</t>
    </r>
    <r>
      <rPr>
        <sz val="13"/>
        <rFont val="Century"/>
      </rPr>
      <t>, 3/1 (1.460,-/pokoj a noc) - Hotel Pavilon</t>
    </r>
  </si>
  <si>
    <r>
      <rPr>
        <sz val="13"/>
        <color rgb="FFFF0000"/>
        <rFont val="Century"/>
      </rPr>
      <t>30.-31.5.</t>
    </r>
    <r>
      <rPr>
        <sz val="13"/>
        <rFont val="Century"/>
      </rPr>
      <t>, 1/2 (1.780,-/pokoj a noc) - Hotel Pavilon</t>
    </r>
  </si>
  <si>
    <t>Celkem za ubytování vč. snídaně a DPH</t>
  </si>
  <si>
    <t>Celkem za ubytování bez DPH 15%</t>
  </si>
  <si>
    <r>
      <t xml:space="preserve">2) </t>
    </r>
    <r>
      <rPr>
        <b/>
        <u/>
        <sz val="13"/>
        <rFont val="Century"/>
      </rPr>
      <t>Pronájem školících prostor</t>
    </r>
  </si>
  <si>
    <r>
      <rPr>
        <sz val="13"/>
        <color rgb="FFFF0000"/>
        <rFont val="Century"/>
      </rPr>
      <t>30.-31.5.</t>
    </r>
    <r>
      <rPr>
        <sz val="13"/>
        <color rgb="FF000000"/>
        <rFont val="Century"/>
      </rPr>
      <t>,Salonek č. 1 + 2 +3</t>
    </r>
  </si>
  <si>
    <t xml:space="preserve">Celkem za pronájem vč. DPH </t>
  </si>
  <si>
    <t>Celkem za pronájem bez DPH 21%</t>
  </si>
  <si>
    <r>
      <t xml:space="preserve">3) </t>
    </r>
    <r>
      <rPr>
        <b/>
        <u/>
        <sz val="13"/>
        <rFont val="Century"/>
      </rPr>
      <t>Pronájem techniky</t>
    </r>
  </si>
  <si>
    <t>Ozvučení / mikrofony</t>
  </si>
  <si>
    <t>Dataprojektor + plátno</t>
  </si>
  <si>
    <t xml:space="preserve">4) Sportoviště  </t>
  </si>
  <si>
    <t>6 x Venkovní tenisový kurt (210,-/hod)</t>
  </si>
  <si>
    <t>2,5 x Beachvolejbal (300,-/hod)</t>
  </si>
  <si>
    <t>Celkem za sportoviště vč. snídaně a DPH</t>
  </si>
  <si>
    <t>Celkem za sportoviště bez DPH 15%</t>
  </si>
  <si>
    <r>
      <t xml:space="preserve">5) </t>
    </r>
    <r>
      <rPr>
        <b/>
        <u/>
        <sz val="13"/>
        <color rgb="FF000000"/>
        <rFont val="Century"/>
      </rPr>
      <t>Stravování</t>
    </r>
  </si>
  <si>
    <t>a) stravování, nealkoholické nápoje - sazba 15% DPH</t>
  </si>
  <si>
    <t>b) alkoholické nápoje - sazba 21% DPH</t>
  </si>
  <si>
    <t>Celkem za stravování vč. DPH</t>
  </si>
  <si>
    <t xml:space="preserve">Celkem za stravování bez DPH </t>
  </si>
  <si>
    <t>Celkem za akci vč. DPH</t>
  </si>
  <si>
    <t>Celkem za akci bez DPH</t>
  </si>
  <si>
    <t>Záloha ve výši 100.000,- Kč uhrazena 3. 5. 2019.</t>
  </si>
  <si>
    <t>Rok 2020:</t>
  </si>
  <si>
    <t>Platba za členství pouze proporčně na základě počtu měsíců, kdy jsme přihlášeni.</t>
  </si>
  <si>
    <t>Parametr pro rok 2020:</t>
  </si>
  <si>
    <t>Roční poplatek pro rok 2020:</t>
  </si>
  <si>
    <t>Vstupní poplatek:</t>
  </si>
  <si>
    <t>Kurz GBP:</t>
  </si>
  <si>
    <t>Příjem - návrh</t>
  </si>
  <si>
    <t>Výdaje - návrh</t>
  </si>
  <si>
    <t>Příjem - dosud</t>
  </si>
  <si>
    <t>Výdaje - dosud</t>
  </si>
  <si>
    <t>CERA - financování z rezervy</t>
  </si>
  <si>
    <t>Graf pro porovnání (vstup do průvodního dokumentu)</t>
  </si>
  <si>
    <t>není změna DPH, hodnoty z objednávky</t>
  </si>
  <si>
    <t>Check</t>
  </si>
  <si>
    <t>Základní scénář:</t>
  </si>
  <si>
    <t>Sensitivita na DPH:</t>
  </si>
  <si>
    <t>podzimní seminář</t>
  </si>
  <si>
    <t>účetnictví</t>
  </si>
  <si>
    <t>Komentář ke změně</t>
  </si>
  <si>
    <t>zisk na DPH z nákladů kompenzován platbou DPH za příspěvky</t>
  </si>
  <si>
    <t>DPH z platby za členství</t>
  </si>
  <si>
    <t>všechny položky uvažovámy s DPH 21% s výjimkou JASu, kde DPH známe od dodavatele</t>
  </si>
  <si>
    <t>V kalkulaci JASu je zahrnut i předpoklad vycházející z minulé zkušenosti ohledně počtu přednášejících (15) a organizátorů (3), kteří poplatek za účast neplatí.</t>
  </si>
  <si>
    <t>Poplatek za CERA jsme předběžně uvažovali jako 2000 Kč/rok. Výše tohoto poplatku bude ale ještě následně schválena valnou hromadou.</t>
  </si>
  <si>
    <t>Uvažovaná varianta</t>
  </si>
  <si>
    <t>počet účastníků jako 2019</t>
  </si>
  <si>
    <t>minimální počet účastníků</t>
  </si>
  <si>
    <t>Navýšení ceny (průměr) pro 2020 (prezenční varianta)</t>
  </si>
  <si>
    <t>Průměrná cena (slevy, neplatící účastníci)</t>
  </si>
  <si>
    <t>Zahrnutí v modelu - poznámky:</t>
  </si>
  <si>
    <t>Stejné náklady/příspěvky jako v roce 2020 se očekávají i pro další roky.</t>
  </si>
  <si>
    <t>neplatí poplatek</t>
  </si>
  <si>
    <t>cena za JAS 2019</t>
  </si>
  <si>
    <t>předpokládáme stejný poplatek i pro následující roky; na základě dosavadních informací by poplatek měl být stejný nebo nižší (tj. bezpečný odhad pro další roky je stejná hodnota)</t>
  </si>
  <si>
    <t>119 osob</t>
  </si>
  <si>
    <t>Výdaj s DPH</t>
  </si>
  <si>
    <t>Výdaj bez DPH</t>
  </si>
  <si>
    <t>Výdaje s DPH</t>
  </si>
  <si>
    <t>Výdaje bez DPH</t>
  </si>
  <si>
    <t>Výdaje prostory s DPH</t>
  </si>
  <si>
    <t>Výdaje prostory bez DPH</t>
  </si>
  <si>
    <t>Výdaje večeře s DPH</t>
  </si>
  <si>
    <t>Výdaje večeře bez DPH</t>
  </si>
  <si>
    <t>Výdaje Actuaria s DPH</t>
  </si>
  <si>
    <t>Výdaje Actuaria bez DPH</t>
  </si>
  <si>
    <t>Výdaje Pojistnamatematika s DPH</t>
  </si>
  <si>
    <t>Výdaje Pojistnamatematika bez DPH</t>
  </si>
  <si>
    <t>Výdaje</t>
  </si>
  <si>
    <t>Výdaj</t>
  </si>
  <si>
    <t>Výdaje rostou s předpokládanou inflací. Výjimkou jsou výdaje rozložené v čase (nepředpokládá se, že by se proporční část navýšila o inflaci) a výdaje za JAS (určující je celkový výsledek za JAS, tj. inflace je už implicitně zahrnutá ve stanovování ceny a výdajů, detaily viz níže).</t>
  </si>
  <si>
    <t>Na listě BP_Actuaria_202_bez úpravy jsou vstupy pro porovnání, pokud by příspěvek pro členy s osvědčením nebyl navýšen (t. stav jako doposud). V této variantě už se počítá s příspěvkem za CERA certifikát ve stejné výši jako pro základní scénář.</t>
  </si>
  <si>
    <t xml:space="preserve">Na listě BP_Actuaria_202_sensDPH je pak připraven výpočet ukazující citlivost na uvažovanou výši DPH. Tento výpočet vznikl na žádost revizní komise pro případ, že by uvažované částky DPH neodpovídaly realitě. </t>
  </si>
  <si>
    <t>Sazba DPH se nastavila pro všechny položky (s výjimkou JASu, kde DPH známe od poskytovatele prostor) na nejvyšší sazbu, tj. 21%.</t>
  </si>
  <si>
    <t>Porovnání se základním scénářem je pak na dalším listě SensDPH_shrnuti. Je vidět, že sazba DPH na celkový výsledek (s DPH) nemá významný vliv.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</si>
</sst>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#,##0_ ;[Red]\-#,##0\ "/>
    <numFmt numFmtId="165" formatCode="#,##0.000"/>
    <numFmt numFmtId="166" formatCode="0.0%"/>
    <numFmt numFmtId="167" formatCode="#,##0\ &quot;Kč&quot;"/>
  </numFmts>
  <fonts count="57" x14ac:knownFonts="1">
    <font>
      <sz val="11"/>
      <color theme="1"/>
      <name val="Arial"/>
    </font>
    <font>
      <sz val="11"/>
      <color theme="1"/>
      <name val="Calibri"/>
    </font>
    <font>
      <b/>
      <u/>
      <sz val="11"/>
      <color theme="1"/>
      <name val="Calibri"/>
    </font>
    <font>
      <i/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theme="0"/>
      <name val="Calibri"/>
    </font>
    <font>
      <i/>
      <sz val="11"/>
      <color theme="1"/>
      <name val="Calibri"/>
    </font>
    <font>
      <sz val="10"/>
      <color rgb="FF000000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11"/>
      <name val="Arial"/>
    </font>
    <font>
      <sz val="10"/>
      <color theme="1"/>
      <name val="Arial"/>
    </font>
    <font>
      <sz val="10"/>
      <color rgb="FFA5A5A5"/>
      <name val="Arial"/>
    </font>
    <font>
      <b/>
      <sz val="10"/>
      <color theme="1"/>
      <name val="Arial"/>
    </font>
    <font>
      <b/>
      <u/>
      <sz val="10"/>
      <color rgb="FFFF0000"/>
      <name val="Arial"/>
    </font>
    <font>
      <b/>
      <sz val="10"/>
      <color rgb="FFA5A5A5"/>
      <name val="Arial"/>
    </font>
    <font>
      <sz val="8"/>
      <color rgb="FF000000"/>
      <name val="Arial"/>
    </font>
    <font>
      <b/>
      <sz val="8"/>
      <color rgb="FFFF0000"/>
      <name val="Arial"/>
    </font>
    <font>
      <b/>
      <sz val="8"/>
      <color rgb="FF000000"/>
      <name val="Arial"/>
    </font>
    <font>
      <b/>
      <u/>
      <sz val="18"/>
      <color rgb="FF000000"/>
      <name val="Century"/>
    </font>
    <font>
      <sz val="11"/>
      <color rgb="FF000000"/>
      <name val="Century"/>
    </font>
    <font>
      <sz val="16"/>
      <color rgb="FF000000"/>
      <name val="Century"/>
    </font>
    <font>
      <b/>
      <u/>
      <sz val="13"/>
      <color theme="1"/>
      <name val="Century"/>
    </font>
    <font>
      <sz val="13"/>
      <color rgb="FF808080"/>
      <name val="Century"/>
    </font>
    <font>
      <sz val="13"/>
      <color theme="1"/>
      <name val="Century"/>
    </font>
    <font>
      <sz val="13"/>
      <color rgb="FF000000"/>
      <name val="Century"/>
    </font>
    <font>
      <b/>
      <sz val="13"/>
      <color theme="1"/>
      <name val="Century"/>
    </font>
    <font>
      <sz val="13"/>
      <color rgb="FFFF0000"/>
      <name val="Century"/>
    </font>
    <font>
      <b/>
      <sz val="13"/>
      <color rgb="FF000000"/>
      <name val="Century"/>
    </font>
    <font>
      <sz val="13"/>
      <color rgb="FF7F7F7F"/>
      <name val="Century"/>
    </font>
    <font>
      <b/>
      <sz val="13"/>
      <color rgb="FFFF0000"/>
      <name val="Calibri"/>
    </font>
    <font>
      <sz val="13"/>
      <color rgb="FF969696"/>
      <name val="Century"/>
    </font>
    <font>
      <sz val="10"/>
      <color theme="1"/>
      <name val="Consolas"/>
    </font>
    <font>
      <sz val="13"/>
      <name val="Century"/>
    </font>
    <font>
      <b/>
      <u/>
      <sz val="13"/>
      <name val="Century"/>
    </font>
    <font>
      <b/>
      <u/>
      <sz val="13"/>
      <color rgb="FF000000"/>
      <name val="Century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A5A5A5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DD5ED"/>
        <bgColor rgb="FFEDD5ED"/>
      </patternFill>
    </fill>
    <fill>
      <patternFill patternType="solid">
        <fgColor rgb="FF92D050"/>
        <bgColor rgb="FF92D050"/>
      </patternFill>
    </fill>
    <fill>
      <patternFill patternType="solid">
        <fgColor rgb="FFF4F7D6"/>
        <bgColor rgb="FFF4F7D6"/>
      </patternFill>
    </fill>
    <fill>
      <patternFill patternType="solid">
        <fgColor rgb="FFD8D8D8"/>
        <bgColor rgb="FFD8D8D8"/>
      </patternFill>
    </fill>
    <fill>
      <patternFill patternType="solid">
        <fgColor rgb="FFDBEFDA"/>
        <bgColor rgb="FFDBEFDA"/>
      </patternFill>
    </fill>
    <fill>
      <patternFill patternType="solid">
        <fgColor theme="9"/>
        <bgColor theme="9"/>
      </patternFill>
    </fill>
    <fill>
      <patternFill patternType="solid">
        <fgColor rgb="FFB8DFB6"/>
        <bgColor rgb="FFB8DFB6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CD871"/>
        <bgColor rgb="FFFCD871"/>
      </patternFill>
    </fill>
    <fill>
      <patternFill patternType="solid">
        <fgColor rgb="FFC79403"/>
        <bgColor rgb="FFC7940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DBEFDA"/>
      </patternFill>
    </fill>
    <fill>
      <patternFill patternType="solid">
        <fgColor theme="9"/>
        <bgColor rgb="FF92D050"/>
      </patternFill>
    </fill>
    <fill>
      <patternFill patternType="solid">
        <fgColor theme="4" tint="0.79998168889431442"/>
        <bgColor theme="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5D092"/>
      </left>
      <right/>
      <top style="thin">
        <color rgb="FF95D092"/>
      </top>
      <bottom/>
      <diagonal/>
    </border>
    <border>
      <left/>
      <right/>
      <top style="thin">
        <color rgb="FF95D092"/>
      </top>
      <bottom/>
      <diagonal/>
    </border>
    <border>
      <left/>
      <right style="thin">
        <color rgb="FF95D092"/>
      </right>
      <top style="thin">
        <color rgb="FF95D092"/>
      </top>
      <bottom/>
      <diagonal/>
    </border>
    <border>
      <left style="thin">
        <color rgb="FF95D092"/>
      </left>
      <right/>
      <top style="thin">
        <color rgb="FF95D092"/>
      </top>
      <bottom/>
      <diagonal/>
    </border>
    <border>
      <left/>
      <right/>
      <top style="thin">
        <color rgb="FF95D092"/>
      </top>
      <bottom/>
      <diagonal/>
    </border>
    <border>
      <left/>
      <right style="thin">
        <color rgb="FF95D092"/>
      </right>
      <top style="thin">
        <color rgb="FF95D092"/>
      </top>
      <bottom/>
      <diagonal/>
    </border>
    <border>
      <left style="thin">
        <color rgb="FF95D092"/>
      </left>
      <right/>
      <top style="thin">
        <color rgb="FF95D092"/>
      </top>
      <bottom style="thin">
        <color rgb="FF95D092"/>
      </bottom>
      <diagonal/>
    </border>
    <border>
      <left/>
      <right/>
      <top style="thin">
        <color rgb="FF95D092"/>
      </top>
      <bottom style="thin">
        <color rgb="FF95D092"/>
      </bottom>
      <diagonal/>
    </border>
    <border>
      <left/>
      <right style="thin">
        <color rgb="FF95D092"/>
      </right>
      <top style="thin">
        <color rgb="FF95D092"/>
      </top>
      <bottom style="thin">
        <color rgb="FF95D092"/>
      </bottom>
      <diagonal/>
    </border>
    <border>
      <left style="thin">
        <color rgb="FFCA81CB"/>
      </left>
      <right/>
      <top style="thin">
        <color rgb="FFCA81CB"/>
      </top>
      <bottom/>
      <diagonal/>
    </border>
    <border>
      <left/>
      <right/>
      <top style="thin">
        <color rgb="FFCA81CB"/>
      </top>
      <bottom/>
      <diagonal/>
    </border>
    <border>
      <left/>
      <right style="thin">
        <color rgb="FFCA81CB"/>
      </right>
      <top style="thin">
        <color rgb="FFCA81CB"/>
      </top>
      <bottom/>
      <diagonal/>
    </border>
    <border>
      <left style="thin">
        <color rgb="FFCA81CB"/>
      </left>
      <right/>
      <top style="thin">
        <color rgb="FFCA81CB"/>
      </top>
      <bottom/>
      <diagonal/>
    </border>
    <border>
      <left/>
      <right/>
      <top style="thin">
        <color rgb="FFCA81CB"/>
      </top>
      <bottom/>
      <diagonal/>
    </border>
    <border>
      <left/>
      <right style="thin">
        <color rgb="FFCA81CB"/>
      </right>
      <top style="thin">
        <color rgb="FFCA81CB"/>
      </top>
      <bottom/>
      <diagonal/>
    </border>
    <border>
      <left style="thin">
        <color rgb="FFCA81CB"/>
      </left>
      <right/>
      <top style="thin">
        <color rgb="FFCA81CB"/>
      </top>
      <bottom style="thin">
        <color rgb="FFCA81CB"/>
      </bottom>
      <diagonal/>
    </border>
    <border>
      <left/>
      <right/>
      <top style="thin">
        <color rgb="FFCA81CB"/>
      </top>
      <bottom style="thin">
        <color rgb="FFCA81CB"/>
      </bottom>
      <diagonal/>
    </border>
    <border>
      <left/>
      <right style="thin">
        <color rgb="FFCA81CB"/>
      </right>
      <top style="thin">
        <color rgb="FFCA81CB"/>
      </top>
      <bottom style="thin">
        <color rgb="FFCA81CB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right" wrapText="1"/>
    </xf>
    <xf numFmtId="0" fontId="6" fillId="5" borderId="1" xfId="0" applyFont="1" applyFill="1" applyBorder="1"/>
    <xf numFmtId="164" fontId="7" fillId="5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1" fillId="6" borderId="2" xfId="0" applyFont="1" applyFill="1" applyBorder="1"/>
    <xf numFmtId="164" fontId="1" fillId="6" borderId="2" xfId="0" applyNumberFormat="1" applyFont="1" applyFill="1" applyBorder="1"/>
    <xf numFmtId="3" fontId="1" fillId="2" borderId="1" xfId="0" applyNumberFormat="1" applyFont="1" applyFill="1" applyBorder="1"/>
    <xf numFmtId="164" fontId="6" fillId="5" borderId="1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9" fontId="1" fillId="7" borderId="1" xfId="0" applyNumberFormat="1" applyFont="1" applyFill="1" applyBorder="1"/>
    <xf numFmtId="9" fontId="1" fillId="2" borderId="1" xfId="0" applyNumberFormat="1" applyFont="1" applyFill="1" applyBorder="1"/>
    <xf numFmtId="0" fontId="6" fillId="5" borderId="2" xfId="0" applyFont="1" applyFill="1" applyBorder="1"/>
    <xf numFmtId="164" fontId="6" fillId="5" borderId="2" xfId="0" applyNumberFormat="1" applyFont="1" applyFill="1" applyBorder="1"/>
    <xf numFmtId="16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6" fillId="2" borderId="2" xfId="0" applyFont="1" applyFill="1" applyBorder="1"/>
    <xf numFmtId="0" fontId="4" fillId="7" borderId="4" xfId="0" applyFont="1" applyFill="1" applyBorder="1"/>
    <xf numFmtId="0" fontId="1" fillId="7" borderId="4" xfId="0" applyFont="1" applyFill="1" applyBorder="1"/>
    <xf numFmtId="9" fontId="1" fillId="7" borderId="4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6" fillId="0" borderId="0" xfId="0" applyFont="1"/>
    <xf numFmtId="0" fontId="8" fillId="8" borderId="5" xfId="0" applyFont="1" applyFill="1" applyBorder="1"/>
    <xf numFmtId="0" fontId="8" fillId="8" borderId="6" xfId="0" applyFont="1" applyFill="1" applyBorder="1"/>
    <xf numFmtId="0" fontId="8" fillId="8" borderId="7" xfId="0" applyFont="1" applyFill="1" applyBorder="1"/>
    <xf numFmtId="0" fontId="1" fillId="7" borderId="5" xfId="0" applyFont="1" applyFill="1" applyBorder="1"/>
    <xf numFmtId="3" fontId="1" fillId="7" borderId="6" xfId="0" applyNumberFormat="1" applyFont="1" applyFill="1" applyBorder="1"/>
    <xf numFmtId="3" fontId="1" fillId="7" borderId="7" xfId="0" applyNumberFormat="1" applyFont="1" applyFill="1" applyBorder="1"/>
    <xf numFmtId="0" fontId="1" fillId="0" borderId="8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7" borderId="1" xfId="0" applyNumberFormat="1" applyFont="1" applyFill="1" applyBorder="1"/>
    <xf numFmtId="0" fontId="9" fillId="2" borderId="1" xfId="0" applyFont="1" applyFill="1" applyBorder="1"/>
    <xf numFmtId="3" fontId="1" fillId="9" borderId="1" xfId="0" applyNumberFormat="1" applyFont="1" applyFill="1" applyBorder="1"/>
    <xf numFmtId="0" fontId="1" fillId="7" borderId="11" xfId="0" applyFont="1" applyFill="1" applyBorder="1"/>
    <xf numFmtId="3" fontId="1" fillId="7" borderId="12" xfId="0" applyNumberFormat="1" applyFont="1" applyFill="1" applyBorder="1"/>
    <xf numFmtId="3" fontId="1" fillId="7" borderId="13" xfId="0" applyNumberFormat="1" applyFont="1" applyFill="1" applyBorder="1"/>
    <xf numFmtId="3" fontId="1" fillId="0" borderId="0" xfId="0" applyNumberFormat="1" applyFont="1"/>
    <xf numFmtId="9" fontId="1" fillId="7" borderId="2" xfId="0" applyNumberFormat="1" applyFont="1" applyFill="1" applyBorder="1"/>
    <xf numFmtId="3" fontId="1" fillId="2" borderId="2" xfId="0" applyNumberFormat="1" applyFont="1" applyFill="1" applyBorder="1"/>
    <xf numFmtId="0" fontId="8" fillId="10" borderId="14" xfId="0" applyFont="1" applyFill="1" applyBorder="1"/>
    <xf numFmtId="3" fontId="8" fillId="10" borderId="15" xfId="0" applyNumberFormat="1" applyFont="1" applyFill="1" applyBorder="1"/>
    <xf numFmtId="3" fontId="8" fillId="10" borderId="16" xfId="0" applyNumberFormat="1" applyFont="1" applyFill="1" applyBorder="1"/>
    <xf numFmtId="0" fontId="1" fillId="3" borderId="14" xfId="0" applyFont="1" applyFill="1" applyBorder="1"/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0" fontId="1" fillId="0" borderId="17" xfId="0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3" borderId="20" xfId="0" applyFont="1" applyFill="1" applyBorder="1"/>
    <xf numFmtId="3" fontId="1" fillId="3" borderId="21" xfId="0" applyNumberFormat="1" applyFont="1" applyFill="1" applyBorder="1"/>
    <xf numFmtId="3" fontId="1" fillId="3" borderId="22" xfId="0" applyNumberFormat="1" applyFont="1" applyFill="1" applyBorder="1"/>
    <xf numFmtId="9" fontId="1" fillId="7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3" fontId="6" fillId="2" borderId="2" xfId="0" applyNumberFormat="1" applyFont="1" applyFill="1" applyBorder="1"/>
    <xf numFmtId="3" fontId="1" fillId="6" borderId="1" xfId="0" applyNumberFormat="1" applyFont="1" applyFill="1" applyBorder="1"/>
    <xf numFmtId="0" fontId="6" fillId="2" borderId="3" xfId="0" applyFont="1" applyFill="1" applyBorder="1"/>
    <xf numFmtId="3" fontId="1" fillId="2" borderId="3" xfId="0" applyNumberFormat="1" applyFont="1" applyFill="1" applyBorder="1"/>
    <xf numFmtId="0" fontId="10" fillId="2" borderId="1" xfId="0" applyFont="1" applyFill="1" applyBorder="1"/>
    <xf numFmtId="0" fontId="11" fillId="2" borderId="2" xfId="0" applyFont="1" applyFill="1" applyBorder="1"/>
    <xf numFmtId="0" fontId="10" fillId="2" borderId="4" xfId="0" applyFont="1" applyFill="1" applyBorder="1"/>
    <xf numFmtId="0" fontId="11" fillId="11" borderId="1" xfId="0" applyFont="1" applyFill="1" applyBorder="1"/>
    <xf numFmtId="0" fontId="11" fillId="2" borderId="1" xfId="0" applyFont="1" applyFill="1" applyBorder="1"/>
    <xf numFmtId="0" fontId="11" fillId="0" borderId="0" xfId="0" applyFont="1"/>
    <xf numFmtId="3" fontId="10" fillId="2" borderId="1" xfId="0" applyNumberFormat="1" applyFont="1" applyFill="1" applyBorder="1"/>
    <xf numFmtId="0" fontId="10" fillId="2" borderId="2" xfId="0" applyFont="1" applyFill="1" applyBorder="1"/>
    <xf numFmtId="3" fontId="10" fillId="2" borderId="2" xfId="0" applyNumberFormat="1" applyFont="1" applyFill="1" applyBorder="1"/>
    <xf numFmtId="0" fontId="12" fillId="2" borderId="1" xfId="0" applyFont="1" applyFill="1" applyBorder="1"/>
    <xf numFmtId="3" fontId="10" fillId="2" borderId="4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4" xfId="0" applyFont="1" applyFill="1" applyBorder="1"/>
    <xf numFmtId="3" fontId="14" fillId="2" borderId="1" xfId="0" applyNumberFormat="1" applyFont="1" applyFill="1" applyBorder="1"/>
    <xf numFmtId="9" fontId="10" fillId="2" borderId="1" xfId="0" applyNumberFormat="1" applyFont="1" applyFill="1" applyBorder="1"/>
    <xf numFmtId="3" fontId="14" fillId="2" borderId="2" xfId="0" applyNumberFormat="1" applyFont="1" applyFill="1" applyBorder="1"/>
    <xf numFmtId="9" fontId="10" fillId="2" borderId="2" xfId="0" applyNumberFormat="1" applyFont="1" applyFill="1" applyBorder="1"/>
    <xf numFmtId="0" fontId="15" fillId="2" borderId="2" xfId="0" applyFont="1" applyFill="1" applyBorder="1"/>
    <xf numFmtId="3" fontId="15" fillId="2" borderId="2" xfId="0" applyNumberFormat="1" applyFont="1" applyFill="1" applyBorder="1"/>
    <xf numFmtId="0" fontId="14" fillId="2" borderId="1" xfId="0" applyFont="1" applyFill="1" applyBorder="1"/>
    <xf numFmtId="0" fontId="16" fillId="2" borderId="2" xfId="0" applyFont="1" applyFill="1" applyBorder="1" applyAlignment="1">
      <alignment horizontal="center" vertical="center"/>
    </xf>
    <xf numFmtId="3" fontId="10" fillId="12" borderId="1" xfId="0" applyNumberFormat="1" applyFont="1" applyFill="1" applyBorder="1"/>
    <xf numFmtId="3" fontId="10" fillId="12" borderId="2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6" fontId="1" fillId="2" borderId="1" xfId="0" applyNumberFormat="1" applyFont="1" applyFill="1" applyBorder="1"/>
    <xf numFmtId="3" fontId="15" fillId="2" borderId="1" xfId="0" applyNumberFormat="1" applyFont="1" applyFill="1" applyBorder="1"/>
    <xf numFmtId="3" fontId="10" fillId="4" borderId="1" xfId="0" applyNumberFormat="1" applyFont="1" applyFill="1" applyBorder="1"/>
    <xf numFmtId="3" fontId="17" fillId="4" borderId="1" xfId="0" applyNumberFormat="1" applyFont="1" applyFill="1" applyBorder="1"/>
    <xf numFmtId="0" fontId="10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/>
    </xf>
    <xf numFmtId="3" fontId="15" fillId="12" borderId="1" xfId="0" applyNumberFormat="1" applyFont="1" applyFill="1" applyBorder="1"/>
    <xf numFmtId="10" fontId="1" fillId="2" borderId="1" xfId="0" applyNumberFormat="1" applyFont="1" applyFill="1" applyBorder="1"/>
    <xf numFmtId="0" fontId="15" fillId="2" borderId="1" xfId="0" applyFont="1" applyFill="1" applyBorder="1"/>
    <xf numFmtId="0" fontId="15" fillId="12" borderId="1" xfId="0" applyFont="1" applyFill="1" applyBorder="1"/>
    <xf numFmtId="3" fontId="15" fillId="12" borderId="2" xfId="0" applyNumberFormat="1" applyFont="1" applyFill="1" applyBorder="1"/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/>
    <xf numFmtId="3" fontId="19" fillId="2" borderId="1" xfId="0" applyNumberFormat="1" applyFont="1" applyFill="1" applyBorder="1"/>
    <xf numFmtId="0" fontId="19" fillId="12" borderId="1" xfId="0" applyFont="1" applyFill="1" applyBorder="1"/>
    <xf numFmtId="0" fontId="10" fillId="13" borderId="1" xfId="0" applyFont="1" applyFill="1" applyBorder="1"/>
    <xf numFmtId="3" fontId="10" fillId="13" borderId="1" xfId="0" applyNumberFormat="1" applyFont="1" applyFill="1" applyBorder="1"/>
    <xf numFmtId="3" fontId="19" fillId="13" borderId="1" xfId="0" applyNumberFormat="1" applyFont="1" applyFill="1" applyBorder="1"/>
    <xf numFmtId="3" fontId="10" fillId="13" borderId="2" xfId="0" applyNumberFormat="1" applyFont="1" applyFill="1" applyBorder="1"/>
    <xf numFmtId="4" fontId="19" fillId="12" borderId="1" xfId="0" applyNumberFormat="1" applyFont="1" applyFill="1" applyBorder="1"/>
    <xf numFmtId="3" fontId="19" fillId="12" borderId="1" xfId="0" applyNumberFormat="1" applyFont="1" applyFill="1" applyBorder="1"/>
    <xf numFmtId="0" fontId="11" fillId="14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right"/>
    </xf>
    <xf numFmtId="0" fontId="20" fillId="2" borderId="1" xfId="0" applyFont="1" applyFill="1" applyBorder="1"/>
    <xf numFmtId="0" fontId="11" fillId="13" borderId="1" xfId="0" applyFont="1" applyFill="1" applyBorder="1" applyAlignment="1">
      <alignment horizontal="right"/>
    </xf>
    <xf numFmtId="3" fontId="10" fillId="13" borderId="1" xfId="0" applyNumberFormat="1" applyFont="1" applyFill="1" applyBorder="1" applyAlignment="1">
      <alignment horizontal="center"/>
    </xf>
    <xf numFmtId="3" fontId="10" fillId="14" borderId="1" xfId="0" applyNumberFormat="1" applyFont="1" applyFill="1" applyBorder="1"/>
    <xf numFmtId="0" fontId="19" fillId="13" borderId="1" xfId="0" applyFont="1" applyFill="1" applyBorder="1"/>
    <xf numFmtId="3" fontId="10" fillId="14" borderId="2" xfId="0" applyNumberFormat="1" applyFont="1" applyFill="1" applyBorder="1"/>
    <xf numFmtId="0" fontId="10" fillId="14" borderId="1" xfId="0" applyFont="1" applyFill="1" applyBorder="1"/>
    <xf numFmtId="164" fontId="10" fillId="13" borderId="1" xfId="0" applyNumberFormat="1" applyFont="1" applyFill="1" applyBorder="1"/>
    <xf numFmtId="164" fontId="10" fillId="13" borderId="2" xfId="0" applyNumberFormat="1" applyFont="1" applyFill="1" applyBorder="1"/>
    <xf numFmtId="0" fontId="21" fillId="2" borderId="1" xfId="0" applyFont="1" applyFill="1" applyBorder="1"/>
    <xf numFmtId="0" fontId="21" fillId="12" borderId="1" xfId="0" applyFont="1" applyFill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7" fontId="26" fillId="0" borderId="0" xfId="0" applyNumberFormat="1" applyFont="1"/>
    <xf numFmtId="0" fontId="27" fillId="0" borderId="0" xfId="0" applyFont="1"/>
    <xf numFmtId="167" fontId="27" fillId="0" borderId="0" xfId="0" applyNumberFormat="1" applyFont="1"/>
    <xf numFmtId="0" fontId="28" fillId="0" borderId="33" xfId="0" applyFont="1" applyBorder="1"/>
    <xf numFmtId="6" fontId="28" fillId="0" borderId="33" xfId="0" applyNumberFormat="1" applyFont="1" applyBorder="1"/>
    <xf numFmtId="0" fontId="26" fillId="0" borderId="0" xfId="0" applyFont="1"/>
    <xf numFmtId="0" fontId="28" fillId="0" borderId="0" xfId="0" applyFont="1"/>
    <xf numFmtId="0" fontId="29" fillId="0" borderId="0" xfId="0" applyFont="1"/>
    <xf numFmtId="6" fontId="28" fillId="0" borderId="0" xfId="0" applyNumberFormat="1" applyFont="1"/>
    <xf numFmtId="3" fontId="30" fillId="0" borderId="0" xfId="0" applyNumberFormat="1" applyFont="1"/>
    <xf numFmtId="0" fontId="31" fillId="0" borderId="0" xfId="0" applyFont="1"/>
    <xf numFmtId="0" fontId="27" fillId="0" borderId="33" xfId="0" applyFont="1" applyBorder="1"/>
    <xf numFmtId="0" fontId="32" fillId="0" borderId="0" xfId="0" applyFont="1"/>
    <xf numFmtId="0" fontId="31" fillId="0" borderId="33" xfId="0" applyFont="1" applyBorder="1"/>
    <xf numFmtId="6" fontId="31" fillId="0" borderId="33" xfId="0" applyNumberFormat="1" applyFont="1" applyBorder="1"/>
    <xf numFmtId="3" fontId="33" fillId="0" borderId="0" xfId="0" applyNumberFormat="1" applyFont="1"/>
    <xf numFmtId="0" fontId="34" fillId="0" borderId="0" xfId="0" applyFont="1"/>
    <xf numFmtId="167" fontId="34" fillId="0" borderId="0" xfId="0" applyNumberFormat="1" applyFont="1"/>
    <xf numFmtId="0" fontId="29" fillId="15" borderId="1" xfId="0" applyFont="1" applyFill="1" applyBorder="1"/>
    <xf numFmtId="0" fontId="35" fillId="0" borderId="0" xfId="0" applyFont="1"/>
    <xf numFmtId="0" fontId="1" fillId="2" borderId="14" xfId="0" applyFont="1" applyFill="1" applyBorder="1"/>
    <xf numFmtId="3" fontId="1" fillId="2" borderId="15" xfId="0" applyNumberFormat="1" applyFont="1" applyFill="1" applyBorder="1"/>
    <xf numFmtId="0" fontId="1" fillId="2" borderId="20" xfId="0" applyFont="1" applyFill="1" applyBorder="1"/>
    <xf numFmtId="3" fontId="1" fillId="2" borderId="21" xfId="0" applyNumberFormat="1" applyFont="1" applyFill="1" applyBorder="1"/>
    <xf numFmtId="0" fontId="39" fillId="2" borderId="1" xfId="0" applyFont="1" applyFill="1" applyBorder="1"/>
    <xf numFmtId="0" fontId="0" fillId="16" borderId="0" xfId="0" applyFont="1" applyFill="1" applyAlignment="1"/>
    <xf numFmtId="9" fontId="1" fillId="17" borderId="1" xfId="0" applyNumberFormat="1" applyFont="1" applyFill="1" applyBorder="1"/>
    <xf numFmtId="9" fontId="1" fillId="17" borderId="2" xfId="0" applyNumberFormat="1" applyFont="1" applyFill="1" applyBorder="1"/>
    <xf numFmtId="0" fontId="41" fillId="2" borderId="1" xfId="0" applyFont="1" applyFill="1" applyBorder="1"/>
    <xf numFmtId="0" fontId="42" fillId="2" borderId="1" xfId="0" applyFont="1" applyFill="1" applyBorder="1"/>
    <xf numFmtId="3" fontId="42" fillId="2" borderId="1" xfId="0" applyNumberFormat="1" applyFont="1" applyFill="1" applyBorder="1"/>
    <xf numFmtId="0" fontId="6" fillId="18" borderId="2" xfId="0" applyFont="1" applyFill="1" applyBorder="1" applyAlignment="1">
      <alignment wrapText="1"/>
    </xf>
    <xf numFmtId="0" fontId="39" fillId="18" borderId="2" xfId="0" applyFont="1" applyFill="1" applyBorder="1" applyAlignment="1">
      <alignment wrapText="1"/>
    </xf>
    <xf numFmtId="0" fontId="40" fillId="16" borderId="0" xfId="0" applyFont="1" applyFill="1" applyAlignment="1"/>
    <xf numFmtId="0" fontId="43" fillId="16" borderId="0" xfId="0" applyFont="1" applyFill="1" applyAlignment="1"/>
    <xf numFmtId="0" fontId="44" fillId="16" borderId="34" xfId="0" applyFont="1" applyFill="1" applyBorder="1" applyAlignment="1"/>
    <xf numFmtId="0" fontId="45" fillId="16" borderId="0" xfId="0" applyFont="1" applyFill="1" applyAlignment="1"/>
    <xf numFmtId="0" fontId="46" fillId="16" borderId="0" xfId="0" applyFont="1" applyFill="1" applyAlignment="1"/>
    <xf numFmtId="0" fontId="1" fillId="2" borderId="30" xfId="0" applyFont="1" applyFill="1" applyBorder="1"/>
    <xf numFmtId="0" fontId="11" fillId="2" borderId="23" xfId="0" applyFont="1" applyFill="1" applyBorder="1" applyAlignment="1">
      <alignment horizontal="center" vertical="center"/>
    </xf>
    <xf numFmtId="0" fontId="13" fillId="0" borderId="24" xfId="0" applyFont="1" applyBorder="1"/>
    <xf numFmtId="0" fontId="13" fillId="0" borderId="25" xfId="0" applyFont="1" applyBorder="1"/>
    <xf numFmtId="3" fontId="10" fillId="14" borderId="29" xfId="0" applyNumberFormat="1" applyFont="1" applyFill="1" applyBorder="1" applyAlignment="1">
      <alignment horizontal="center"/>
    </xf>
    <xf numFmtId="0" fontId="13" fillId="0" borderId="30" xfId="0" applyFont="1" applyBorder="1"/>
    <xf numFmtId="3" fontId="10" fillId="14" borderId="26" xfId="0" applyNumberFormat="1" applyFont="1" applyFill="1" applyBorder="1" applyAlignment="1">
      <alignment horizontal="center"/>
    </xf>
    <xf numFmtId="0" fontId="13" fillId="0" borderId="28" xfId="0" applyFont="1" applyBorder="1"/>
    <xf numFmtId="3" fontId="10" fillId="14" borderId="31" xfId="0" applyNumberFormat="1" applyFont="1" applyFill="1" applyBorder="1" applyAlignment="1">
      <alignment horizontal="center"/>
    </xf>
    <xf numFmtId="0" fontId="13" fillId="0" borderId="32" xfId="0" applyFont="1" applyBorder="1"/>
    <xf numFmtId="0" fontId="11" fillId="2" borderId="26" xfId="0" applyFont="1" applyFill="1" applyBorder="1" applyAlignment="1">
      <alignment horizontal="center" vertical="center" wrapText="1"/>
    </xf>
    <xf numFmtId="0" fontId="13" fillId="0" borderId="27" xfId="0" applyFont="1" applyBorder="1"/>
    <xf numFmtId="0" fontId="11" fillId="14" borderId="29" xfId="0" applyFont="1" applyFill="1" applyBorder="1" applyAlignment="1">
      <alignment horizontal="center"/>
    </xf>
    <xf numFmtId="0" fontId="11" fillId="19" borderId="2" xfId="0" applyFont="1" applyFill="1" applyBorder="1"/>
    <xf numFmtId="0" fontId="10" fillId="19" borderId="4" xfId="0" applyFont="1" applyFill="1" applyBorder="1"/>
    <xf numFmtId="0" fontId="11" fillId="19" borderId="1" xfId="0" applyFont="1" applyFill="1" applyBorder="1"/>
    <xf numFmtId="3" fontId="10" fillId="19" borderId="1" xfId="0" applyNumberFormat="1" applyFont="1" applyFill="1" applyBorder="1"/>
    <xf numFmtId="3" fontId="10" fillId="19" borderId="2" xfId="0" applyNumberFormat="1" applyFont="1" applyFill="1" applyBorder="1"/>
    <xf numFmtId="3" fontId="10" fillId="19" borderId="4" xfId="0" applyNumberFormat="1" applyFont="1" applyFill="1" applyBorder="1"/>
    <xf numFmtId="0" fontId="47" fillId="19" borderId="1" xfId="0" applyFont="1" applyFill="1" applyBorder="1"/>
    <xf numFmtId="0" fontId="48" fillId="2" borderId="1" xfId="0" applyFont="1" applyFill="1" applyBorder="1"/>
    <xf numFmtId="0" fontId="48" fillId="2" borderId="1" xfId="0" applyFont="1" applyFill="1" applyBorder="1" applyAlignment="1">
      <alignment wrapText="1"/>
    </xf>
    <xf numFmtId="0" fontId="47" fillId="2" borderId="1" xfId="0" applyFont="1" applyFill="1" applyBorder="1"/>
    <xf numFmtId="0" fontId="49" fillId="2" borderId="2" xfId="0" applyFont="1" applyFill="1" applyBorder="1"/>
    <xf numFmtId="0" fontId="50" fillId="16" borderId="0" xfId="0" applyFont="1" applyFill="1" applyAlignment="1"/>
    <xf numFmtId="0" fontId="51" fillId="2" borderId="1" xfId="0" applyFont="1" applyFill="1" applyBorder="1" applyAlignment="1">
      <alignment horizontal="right"/>
    </xf>
    <xf numFmtId="0" fontId="10" fillId="2" borderId="30" xfId="0" applyFont="1" applyFill="1" applyBorder="1"/>
    <xf numFmtId="0" fontId="10" fillId="13" borderId="30" xfId="0" applyFont="1" applyFill="1" applyBorder="1"/>
    <xf numFmtId="0" fontId="11" fillId="13" borderId="30" xfId="0" applyFont="1" applyFill="1" applyBorder="1" applyAlignment="1">
      <alignment horizontal="right"/>
    </xf>
    <xf numFmtId="0" fontId="53" fillId="2" borderId="1" xfId="0" applyFont="1" applyFill="1" applyBorder="1"/>
    <xf numFmtId="0" fontId="54" fillId="2" borderId="1" xfId="0" applyFont="1" applyFill="1" applyBorder="1"/>
    <xf numFmtId="0" fontId="55" fillId="2" borderId="1" xfId="0" applyFont="1" applyFill="1" applyBorder="1"/>
    <xf numFmtId="0" fontId="54" fillId="6" borderId="1" xfId="0" applyFont="1" applyFill="1" applyBorder="1"/>
    <xf numFmtId="0" fontId="54" fillId="2" borderId="3" xfId="0" applyFont="1" applyFill="1" applyBorder="1"/>
    <xf numFmtId="0" fontId="56" fillId="8" borderId="6" xfId="0" applyFont="1" applyFill="1" applyBorder="1"/>
    <xf numFmtId="3" fontId="56" fillId="10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Příjmy a výdaje 2021 - porovnání před a po úpravě (s DPH, tis. Kč)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595962295021315E-2"/>
          <c:y val="0.12571552559772142"/>
          <c:w val="0.92883643848786013"/>
          <c:h val="0.64692250847284871"/>
        </c:manualLayout>
      </c:layout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Graf!$C$5:$F$5</c:f>
              <c:numCache>
                <c:formatCode>#,##0</c:formatCode>
                <c:ptCount val="4"/>
                <c:pt idx="0">
                  <c:v>130.5</c:v>
                </c:pt>
                <c:pt idx="1">
                  <c:v>123.828</c:v>
                </c:pt>
                <c:pt idx="2">
                  <c:v>130.5</c:v>
                </c:pt>
                <c:pt idx="3">
                  <c:v>123.828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9C3-415E-915B-679CDDB59B90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973F9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Graf!$C$6:$F$6</c:f>
              <c:numCache>
                <c:formatCode>#,##0</c:formatCode>
                <c:ptCount val="4"/>
                <c:pt idx="0">
                  <c:v>107</c:v>
                </c:pt>
                <c:pt idx="1">
                  <c:v>103.02</c:v>
                </c:pt>
                <c:pt idx="2">
                  <c:v>53.5</c:v>
                </c:pt>
                <c:pt idx="3">
                  <c:v>103.02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9C3-415E-915B-679CDDB59B90}"/>
            </c:ext>
          </c:extLst>
        </c:ser>
        <c:ser>
          <c:idx val="2"/>
          <c:order val="2"/>
          <c:tx>
            <c:v>CERA</c:v>
          </c:tx>
          <c:spPr>
            <a:solidFill>
              <a:srgbClr val="F2652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Graf!$C$7:$F$7</c:f>
              <c:numCache>
                <c:formatCode>#,##0</c:formatCode>
                <c:ptCount val="4"/>
                <c:pt idx="0">
                  <c:v>4</c:v>
                </c:pt>
                <c:pt idx="1">
                  <c:v>35.496000000000002</c:v>
                </c:pt>
                <c:pt idx="2">
                  <c:v>4</c:v>
                </c:pt>
                <c:pt idx="3">
                  <c:v>35.496000000000002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9C3-415E-915B-679CDDB59B90}"/>
            </c:ext>
          </c:extLst>
        </c:ser>
        <c:ser>
          <c:idx val="3"/>
          <c:order val="3"/>
          <c:tx>
            <c:v>CERA - financování z rezervy</c:v>
          </c:tx>
          <c:spPr>
            <a:solidFill>
              <a:srgbClr val="FBBF13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Graf!$C$8:$F$8</c:f>
              <c:numCache>
                <c:formatCode>#,##0</c:formatCode>
                <c:ptCount val="4"/>
                <c:pt idx="0">
                  <c:v>31.496000000000002</c:v>
                </c:pt>
                <c:pt idx="1">
                  <c:v>0</c:v>
                </c:pt>
                <c:pt idx="2">
                  <c:v>31.496000000000002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39C3-415E-915B-679CDDB59B90}"/>
            </c:ext>
          </c:extLst>
        </c:ser>
        <c:ser>
          <c:idx val="4"/>
          <c:order val="4"/>
          <c:tx>
            <c:v>Vzdělávání/publikace</c:v>
          </c:tx>
          <c:spPr>
            <a:solidFill>
              <a:srgbClr val="CDDC3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2060"/>
                    </a:solidFill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Graf!$C$9:$F$9</c:f>
              <c:numCache>
                <c:formatCode>#,##0</c:formatCode>
                <c:ptCount val="4"/>
                <c:pt idx="0">
                  <c:v>120.59345620050811</c:v>
                </c:pt>
                <c:pt idx="1">
                  <c:v>79.52</c:v>
                </c:pt>
                <c:pt idx="2">
                  <c:v>120.59345620050811</c:v>
                </c:pt>
                <c:pt idx="3">
                  <c:v>79.52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39C3-415E-915B-679CDDB59B90}"/>
            </c:ext>
          </c:extLst>
        </c:ser>
        <c:ser>
          <c:idx val="5"/>
          <c:order val="5"/>
          <c:tx>
            <c:v>Setkání po valné hromadě</c:v>
          </c:tx>
          <c:spPr>
            <a:solidFill>
              <a:srgbClr val="51B04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Graf!$C$10:$F$10</c:f>
              <c:numCache>
                <c:formatCode>#,##0</c:formatCode>
                <c:ptCount val="4"/>
                <c:pt idx="0">
                  <c:v>0</c:v>
                </c:pt>
                <c:pt idx="1">
                  <c:v>51</c:v>
                </c:pt>
                <c:pt idx="2">
                  <c:v>0</c:v>
                </c:pt>
                <c:pt idx="3">
                  <c:v>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39C3-415E-915B-679CDDB5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0408631"/>
        <c:axId val="11231052"/>
      </c:barChart>
      <c:catAx>
        <c:axId val="1300408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1231052"/>
        <c:crosses val="autoZero"/>
        <c:auto val="1"/>
        <c:lblAlgn val="ctr"/>
        <c:lblOffset val="100"/>
        <c:noMultiLvlLbl val="1"/>
      </c:catAx>
      <c:valAx>
        <c:axId val="112310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30040863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80747188753177"/>
          <c:y val="0.86367199245725357"/>
        </c:manualLayout>
      </c:layout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Financování mezinárodních členství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Dostaneme certifikát &amp; CERA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BP_Actuaria_2020!$K$62:$N$62</c:f>
              <c:numCache>
                <c:formatCode>#,##0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General">
                  <c:v>2024</c:v>
                </c:pt>
              </c:numCache>
            </c:numRef>
          </c:cat>
          <c:val>
            <c:numRef>
              <c:f>BP_Actuaria_2020!$K$63:$N$63</c:f>
              <c:numCache>
                <c:formatCode>#,##0</c:formatCode>
                <c:ptCount val="4"/>
                <c:pt idx="0">
                  <c:v>111000</c:v>
                </c:pt>
                <c:pt idx="1">
                  <c:v>117000</c:v>
                </c:pt>
                <c:pt idx="2">
                  <c:v>127000</c:v>
                </c:pt>
                <c:pt idx="3">
                  <c:v>137000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C-4A28-85F6-4EFB33E56449}"/>
            </c:ext>
          </c:extLst>
        </c:ser>
        <c:ser>
          <c:idx val="1"/>
          <c:order val="1"/>
          <c:tx>
            <c:v>Dáme členství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BP_Actuaria_2020!$K$62:$N$62</c:f>
              <c:numCache>
                <c:formatCode>#,##0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General">
                  <c:v>2024</c:v>
                </c:pt>
              </c:numCache>
            </c:numRef>
          </c:cat>
          <c:val>
            <c:numRef>
              <c:f>BP_Actuaria_2020!$K$64:$N$64</c:f>
              <c:numCache>
                <c:formatCode>#,##0</c:formatCode>
                <c:ptCount val="4"/>
                <c:pt idx="0">
                  <c:v>138516</c:v>
                </c:pt>
                <c:pt idx="1">
                  <c:v>141286.32</c:v>
                </c:pt>
                <c:pt idx="2">
                  <c:v>144112.04639999999</c:v>
                </c:pt>
                <c:pt idx="3">
                  <c:v>146994.28732800001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C-4A28-85F6-4EFB33E5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940511"/>
        <c:axId val="1388803089"/>
      </c:lineChart>
      <c:catAx>
        <c:axId val="825940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388803089"/>
        <c:crosses val="autoZero"/>
        <c:auto val="1"/>
        <c:lblAlgn val="ctr"/>
        <c:lblOffset val="100"/>
        <c:noMultiLvlLbl val="1"/>
      </c:catAx>
      <c:valAx>
        <c:axId val="13888030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82594051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Rok 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cat>
            <c:strRef>
              <c:f>BP_Actuaria_2020!$K$49:$L$49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BP_Actuaria_2020!$K$50:$L$50</c:f>
              <c:numCache>
                <c:formatCode>#,##0</c:formatCode>
                <c:ptCount val="2"/>
                <c:pt idx="0">
                  <c:v>130500</c:v>
                </c:pt>
                <c:pt idx="1">
                  <c:v>123828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B5D-4F50-BB4B-ECB670B14246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973F98"/>
            </a:solidFill>
          </c:spPr>
          <c:invertIfNegative val="1"/>
          <c:cat>
            <c:strRef>
              <c:f>BP_Actuaria_2020!$K$49:$L$49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BP_Actuaria_2020!$K$51:$L$51</c:f>
              <c:numCache>
                <c:formatCode>#,##0</c:formatCode>
                <c:ptCount val="2"/>
                <c:pt idx="0">
                  <c:v>107000</c:v>
                </c:pt>
                <c:pt idx="1">
                  <c:v>103020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B5D-4F50-BB4B-ECB670B14246}"/>
            </c:ext>
          </c:extLst>
        </c:ser>
        <c:ser>
          <c:idx val="2"/>
          <c:order val="2"/>
          <c:tx>
            <c:v>CERA</c:v>
          </c:tx>
          <c:spPr>
            <a:solidFill>
              <a:srgbClr val="F2652A"/>
            </a:solidFill>
          </c:spPr>
          <c:invertIfNegative val="1"/>
          <c:cat>
            <c:strRef>
              <c:f>BP_Actuaria_2020!$K$49:$L$49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BP_Actuaria_2020!$K$52:$L$52</c:f>
              <c:numCache>
                <c:formatCode>#,##0</c:formatCode>
                <c:ptCount val="2"/>
                <c:pt idx="0">
                  <c:v>4000</c:v>
                </c:pt>
                <c:pt idx="1">
                  <c:v>35496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B5D-4F50-BB4B-ECB670B14246}"/>
            </c:ext>
          </c:extLst>
        </c:ser>
        <c:ser>
          <c:idx val="3"/>
          <c:order val="3"/>
          <c:tx>
            <c:v>Vzdělávání/publikace</c:v>
          </c:tx>
          <c:spPr>
            <a:solidFill>
              <a:srgbClr val="FBBF13"/>
            </a:solidFill>
          </c:spPr>
          <c:invertIfNegative val="1"/>
          <c:cat>
            <c:strRef>
              <c:f>BP_Actuaria_2020!$K$49:$L$49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BP_Actuaria_2020!$K$53:$L$53</c:f>
              <c:numCache>
                <c:formatCode>#,##0</c:formatCode>
                <c:ptCount val="2"/>
                <c:pt idx="0">
                  <c:v>582045.00970873784</c:v>
                </c:pt>
                <c:pt idx="1">
                  <c:v>540971.55350822979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B5D-4F50-BB4B-ECB670B14246}"/>
            </c:ext>
          </c:extLst>
        </c:ser>
        <c:ser>
          <c:idx val="4"/>
          <c:order val="4"/>
          <c:tx>
            <c:v>Setkání po valné hromadě</c:v>
          </c:tx>
          <c:spPr>
            <a:solidFill>
              <a:srgbClr val="CDDC35"/>
            </a:solidFill>
          </c:spPr>
          <c:invertIfNegative val="1"/>
          <c:cat>
            <c:strRef>
              <c:f>BP_Actuaria_2020!$K$49:$L$49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BP_Actuaria_2020!$K$54:$L$54</c:f>
              <c:numCache>
                <c:formatCode>#,##0</c:formatCode>
                <c:ptCount val="2"/>
                <c:pt idx="1">
                  <c:v>51000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BB5D-4F50-BB4B-ECB670B14246}"/>
            </c:ext>
          </c:extLst>
        </c:ser>
        <c:ser>
          <c:idx val="5"/>
          <c:order val="5"/>
          <c:tx>
            <c:v>Daň z příjmu</c:v>
          </c:tx>
          <c:spPr>
            <a:solidFill>
              <a:srgbClr val="51B04C"/>
            </a:solidFill>
          </c:spPr>
          <c:invertIfNegative val="1"/>
          <c:cat>
            <c:strRef>
              <c:f>BP_Actuaria_2020!$K$49:$L$49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BP_Actuaria_2020!$K$55:$L$55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BB5D-4F50-BB4B-ECB670B1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712237"/>
        <c:axId val="769694491"/>
      </c:barChart>
      <c:catAx>
        <c:axId val="12817122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769694491"/>
        <c:crosses val="autoZero"/>
        <c:auto val="1"/>
        <c:lblAlgn val="ctr"/>
        <c:lblOffset val="100"/>
        <c:noMultiLvlLbl val="1"/>
      </c:catAx>
      <c:valAx>
        <c:axId val="7696944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28171223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Příjmy a výdaje 2021- po navrhnované úpravě příspěvků (tis. Kč)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595962295021315E-2"/>
          <c:y val="0.12571552559772142"/>
          <c:w val="0.92883643848786013"/>
          <c:h val="0.64692250847284871"/>
        </c:manualLayout>
      </c:layout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BP_Actuaria_2020!$K$80:$L$80</c:f>
              <c:numCache>
                <c:formatCode>#,##0</c:formatCode>
                <c:ptCount val="2"/>
                <c:pt idx="0">
                  <c:v>130.5</c:v>
                </c:pt>
                <c:pt idx="1">
                  <c:v>123.828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571-400A-A6D5-E999DCE86A03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BP_Actuaria_2020!$K$81:$L$81</c:f>
              <c:numCache>
                <c:formatCode>#,##0</c:formatCode>
                <c:ptCount val="2"/>
                <c:pt idx="0">
                  <c:v>107</c:v>
                </c:pt>
                <c:pt idx="1">
                  <c:v>103.02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571-400A-A6D5-E999DCE86A03}"/>
            </c:ext>
          </c:extLst>
        </c:ser>
        <c:ser>
          <c:idx val="2"/>
          <c:order val="2"/>
          <c:tx>
            <c:v>CERA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BP_Actuaria_2020!$K$82:$L$82</c:f>
              <c:numCache>
                <c:formatCode>#,##0</c:formatCode>
                <c:ptCount val="2"/>
                <c:pt idx="0">
                  <c:v>4</c:v>
                </c:pt>
                <c:pt idx="1">
                  <c:v>35.496000000000002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1571-400A-A6D5-E999DCE86A03}"/>
            </c:ext>
          </c:extLst>
        </c:ser>
        <c:ser>
          <c:idx val="3"/>
          <c:order val="3"/>
          <c:tx>
            <c:v>Vzdělávání/publikace</c:v>
          </c:tx>
          <c:spPr>
            <a:solidFill>
              <a:srgbClr val="F2652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BP_Actuaria_2020!$K$83:$L$83</c:f>
              <c:numCache>
                <c:formatCode>#,##0</c:formatCode>
                <c:ptCount val="2"/>
                <c:pt idx="0">
                  <c:v>120.59345620050811</c:v>
                </c:pt>
                <c:pt idx="1">
                  <c:v>79.52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1571-400A-A6D5-E999DCE86A03}"/>
            </c:ext>
          </c:extLst>
        </c:ser>
        <c:ser>
          <c:idx val="4"/>
          <c:order val="4"/>
          <c:tx>
            <c:v>Setkání po valné hromadě</c:v>
          </c:tx>
          <c:spPr>
            <a:solidFill>
              <a:srgbClr val="FBBF13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BP_Actuaria_2020!$K$84:$L$84</c:f>
              <c:numCache>
                <c:formatCode>#,##0</c:formatCode>
                <c:ptCount val="2"/>
                <c:pt idx="0">
                  <c:v>0</c:v>
                </c:pt>
                <c:pt idx="1">
                  <c:v>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1571-400A-A6D5-E999DCE86A03}"/>
            </c:ext>
          </c:extLst>
        </c:ser>
        <c:ser>
          <c:idx val="5"/>
          <c:order val="5"/>
          <c:tx>
            <c:v>Daň z příjmu</c:v>
          </c:tx>
          <c:spPr>
            <a:solidFill>
              <a:srgbClr val="CDDC35"/>
            </a:solidFill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571-400A-A6D5-E999DCE86A03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 lvl="0">
                    <a:defRPr sz="1100" b="0" i="0">
                      <a:latin typeface="+mn-lt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571-400A-A6D5-E999DCE86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BP_Actuaria_2020!$K$85:$L$85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1571-400A-A6D5-E999DCE86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3348891"/>
        <c:axId val="1042060141"/>
      </c:barChart>
      <c:catAx>
        <c:axId val="19333488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042060141"/>
        <c:crosses val="autoZero"/>
        <c:auto val="1"/>
        <c:lblAlgn val="ctr"/>
        <c:lblOffset val="100"/>
        <c:noMultiLvlLbl val="1"/>
      </c:catAx>
      <c:valAx>
        <c:axId val="10420601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93334889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80747188753177"/>
          <c:y val="0.86367199245725357"/>
        </c:manualLayout>
      </c:layout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Financování mezinárodních členství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Dostaneme certifikát &amp; CERA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'BP_Actuaria_2020_bez úpravy'!$K$62:$N$62</c:f>
              <c:numCache>
                <c:formatCode>#,##0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General">
                  <c:v>2024</c:v>
                </c:pt>
              </c:numCache>
            </c:numRef>
          </c:cat>
          <c:val>
            <c:numRef>
              <c:f>'BP_Actuaria_2020_bez úpravy'!$K$63:$N$63</c:f>
              <c:numCache>
                <c:formatCode>#,##0</c:formatCode>
                <c:ptCount val="4"/>
                <c:pt idx="0">
                  <c:v>57500</c:v>
                </c:pt>
                <c:pt idx="1">
                  <c:v>63500</c:v>
                </c:pt>
                <c:pt idx="2">
                  <c:v>73500</c:v>
                </c:pt>
                <c:pt idx="3">
                  <c:v>83500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F-4883-B6C5-0764E472D82A}"/>
            </c:ext>
          </c:extLst>
        </c:ser>
        <c:ser>
          <c:idx val="1"/>
          <c:order val="1"/>
          <c:tx>
            <c:v>Dáme členství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'BP_Actuaria_2020_bez úpravy'!$K$62:$N$62</c:f>
              <c:numCache>
                <c:formatCode>#,##0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General">
                  <c:v>2024</c:v>
                </c:pt>
              </c:numCache>
            </c:numRef>
          </c:cat>
          <c:val>
            <c:numRef>
              <c:f>'BP_Actuaria_2020_bez úpravy'!$K$64:$N$64</c:f>
              <c:numCache>
                <c:formatCode>#,##0</c:formatCode>
                <c:ptCount val="4"/>
                <c:pt idx="0">
                  <c:v>138516</c:v>
                </c:pt>
                <c:pt idx="1">
                  <c:v>141286.32</c:v>
                </c:pt>
                <c:pt idx="2">
                  <c:v>144112.04639999999</c:v>
                </c:pt>
                <c:pt idx="3">
                  <c:v>146994.28732800001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F-4883-B6C5-0764E472D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942028"/>
        <c:axId val="920107905"/>
      </c:lineChart>
      <c:catAx>
        <c:axId val="11589420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920107905"/>
        <c:crosses val="autoZero"/>
        <c:auto val="1"/>
        <c:lblAlgn val="ctr"/>
        <c:lblOffset val="100"/>
        <c:noMultiLvlLbl val="1"/>
      </c:catAx>
      <c:valAx>
        <c:axId val="9201079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15894202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Rok 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cat>
            <c:strRef>
              <c:f>'BP_Actuaria_2020_bez úpravy'!$K$49:$L$49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úpravy'!$K$50:$L$50</c:f>
              <c:numCache>
                <c:formatCode>#,##0</c:formatCode>
                <c:ptCount val="2"/>
                <c:pt idx="0">
                  <c:v>130500</c:v>
                </c:pt>
                <c:pt idx="1">
                  <c:v>123828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A7D-4AE6-B694-2A4ACE401073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973F98"/>
            </a:solidFill>
          </c:spPr>
          <c:invertIfNegative val="1"/>
          <c:cat>
            <c:strRef>
              <c:f>'BP_Actuaria_2020_bez úpravy'!$K$49:$L$49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úpravy'!$K$51:$L$51</c:f>
              <c:numCache>
                <c:formatCode>#,##0</c:formatCode>
                <c:ptCount val="2"/>
                <c:pt idx="0">
                  <c:v>53500</c:v>
                </c:pt>
                <c:pt idx="1">
                  <c:v>103020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A7D-4AE6-B694-2A4ACE401073}"/>
            </c:ext>
          </c:extLst>
        </c:ser>
        <c:ser>
          <c:idx val="2"/>
          <c:order val="2"/>
          <c:tx>
            <c:v>CERA</c:v>
          </c:tx>
          <c:spPr>
            <a:solidFill>
              <a:srgbClr val="F2652A"/>
            </a:solidFill>
          </c:spPr>
          <c:invertIfNegative val="1"/>
          <c:cat>
            <c:strRef>
              <c:f>'BP_Actuaria_2020_bez úpravy'!$K$49:$L$49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úpravy'!$K$52:$L$52</c:f>
              <c:numCache>
                <c:formatCode>#,##0</c:formatCode>
                <c:ptCount val="2"/>
                <c:pt idx="0">
                  <c:v>4000</c:v>
                </c:pt>
                <c:pt idx="1">
                  <c:v>35496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A7D-4AE6-B694-2A4ACE401073}"/>
            </c:ext>
          </c:extLst>
        </c:ser>
        <c:ser>
          <c:idx val="3"/>
          <c:order val="3"/>
          <c:tx>
            <c:v>Vzdělávání/publikace</c:v>
          </c:tx>
          <c:spPr>
            <a:solidFill>
              <a:srgbClr val="FBBF13"/>
            </a:solidFill>
          </c:spPr>
          <c:invertIfNegative val="1"/>
          <c:cat>
            <c:strRef>
              <c:f>'BP_Actuaria_2020_bez úpravy'!$K$49:$L$49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úpravy'!$K$53:$L$53</c:f>
              <c:numCache>
                <c:formatCode>#,##0</c:formatCode>
                <c:ptCount val="2"/>
                <c:pt idx="0">
                  <c:v>582045.00970873784</c:v>
                </c:pt>
                <c:pt idx="1">
                  <c:v>540971.55350822979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A7D-4AE6-B694-2A4ACE401073}"/>
            </c:ext>
          </c:extLst>
        </c:ser>
        <c:ser>
          <c:idx val="4"/>
          <c:order val="4"/>
          <c:tx>
            <c:v>Setkání po valné hromadě</c:v>
          </c:tx>
          <c:spPr>
            <a:solidFill>
              <a:srgbClr val="CDDC35"/>
            </a:solidFill>
          </c:spPr>
          <c:invertIfNegative val="1"/>
          <c:cat>
            <c:strRef>
              <c:f>'BP_Actuaria_2020_bez úpravy'!$K$49:$L$49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úpravy'!$K$54:$L$54</c:f>
              <c:numCache>
                <c:formatCode>#,##0</c:formatCode>
                <c:ptCount val="2"/>
                <c:pt idx="1">
                  <c:v>51000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A7D-4AE6-B694-2A4ACE401073}"/>
            </c:ext>
          </c:extLst>
        </c:ser>
        <c:ser>
          <c:idx val="5"/>
          <c:order val="5"/>
          <c:tx>
            <c:v>Daň z příjmu</c:v>
          </c:tx>
          <c:spPr>
            <a:solidFill>
              <a:srgbClr val="51B04C"/>
            </a:solidFill>
          </c:spPr>
          <c:invertIfNegative val="1"/>
          <c:cat>
            <c:strRef>
              <c:f>'BP_Actuaria_2020_bez úpravy'!$K$49:$L$49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úpravy'!$K$55:$L$55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EA7D-4AE6-B694-2A4ACE401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7723841"/>
        <c:axId val="652326775"/>
      </c:barChart>
      <c:catAx>
        <c:axId val="21277238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652326775"/>
        <c:crosses val="autoZero"/>
        <c:auto val="1"/>
        <c:lblAlgn val="ctr"/>
        <c:lblOffset val="100"/>
        <c:noMultiLvlLbl val="1"/>
      </c:catAx>
      <c:valAx>
        <c:axId val="6523267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212772384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Příjmy a výdaje 2021 - bez úpravy příspěvků (tis. Kč)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595962295021315E-2"/>
          <c:y val="0.12571552559772142"/>
          <c:w val="0.92883643848786013"/>
          <c:h val="0.64692250847284871"/>
        </c:manualLayout>
      </c:layout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'BP_Actuaria_2020_bez úpravy'!$K$79:$L$79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úpravy'!$K$80:$L$80</c:f>
              <c:numCache>
                <c:formatCode>#,##0</c:formatCode>
                <c:ptCount val="2"/>
                <c:pt idx="0">
                  <c:v>130.5</c:v>
                </c:pt>
                <c:pt idx="1">
                  <c:v>123.828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60F-406F-9AD9-BABC51183F33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'BP_Actuaria_2020_bez úpravy'!$K$79:$L$79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úpravy'!$K$81:$L$81</c:f>
              <c:numCache>
                <c:formatCode>#,##0</c:formatCode>
                <c:ptCount val="2"/>
                <c:pt idx="0">
                  <c:v>53.5</c:v>
                </c:pt>
                <c:pt idx="1">
                  <c:v>103.02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60F-406F-9AD9-BABC51183F33}"/>
            </c:ext>
          </c:extLst>
        </c:ser>
        <c:ser>
          <c:idx val="2"/>
          <c:order val="2"/>
          <c:tx>
            <c:v>CERA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'BP_Actuaria_2020_bez úpravy'!$K$79:$L$79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úpravy'!$K$82:$L$82</c:f>
              <c:numCache>
                <c:formatCode>#,##0</c:formatCode>
                <c:ptCount val="2"/>
                <c:pt idx="0">
                  <c:v>4</c:v>
                </c:pt>
                <c:pt idx="1">
                  <c:v>35.496000000000002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60F-406F-9AD9-BABC51183F33}"/>
            </c:ext>
          </c:extLst>
        </c:ser>
        <c:ser>
          <c:idx val="3"/>
          <c:order val="3"/>
          <c:tx>
            <c:v>Vzdělávání/publikace</c:v>
          </c:tx>
          <c:spPr>
            <a:solidFill>
              <a:srgbClr val="F2652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'BP_Actuaria_2020_bez úpravy'!$K$79:$L$79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úpravy'!$K$83:$L$83</c:f>
              <c:numCache>
                <c:formatCode>#,##0</c:formatCode>
                <c:ptCount val="2"/>
                <c:pt idx="0">
                  <c:v>120.59345620050811</c:v>
                </c:pt>
                <c:pt idx="1">
                  <c:v>79.52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F60F-406F-9AD9-BABC51183F33}"/>
            </c:ext>
          </c:extLst>
        </c:ser>
        <c:ser>
          <c:idx val="4"/>
          <c:order val="4"/>
          <c:tx>
            <c:v>Setkání po valné hromadě</c:v>
          </c:tx>
          <c:spPr>
            <a:solidFill>
              <a:srgbClr val="FBBF13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'BP_Actuaria_2020_bez úpravy'!$K$79:$L$79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úpravy'!$K$84:$L$84</c:f>
              <c:numCache>
                <c:formatCode>#,##0</c:formatCode>
                <c:ptCount val="2"/>
                <c:pt idx="0">
                  <c:v>0</c:v>
                </c:pt>
                <c:pt idx="1">
                  <c:v>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F60F-406F-9AD9-BABC51183F33}"/>
            </c:ext>
          </c:extLst>
        </c:ser>
        <c:ser>
          <c:idx val="5"/>
          <c:order val="5"/>
          <c:tx>
            <c:v>Daň z příjmu</c:v>
          </c:tx>
          <c:spPr>
            <a:solidFill>
              <a:srgbClr val="CDDC35"/>
            </a:solidFill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F60F-406F-9AD9-BABC51183F33}"/>
              </c:ext>
            </c:extLst>
          </c:dPt>
          <c:cat>
            <c:strRef>
              <c:f>'BP_Actuaria_2020_bez úpravy'!$K$79:$L$79</c:f>
              <c:strCache>
                <c:ptCount val="2"/>
                <c:pt idx="0">
                  <c:v>Příjem</c:v>
                </c:pt>
                <c:pt idx="1">
                  <c:v>Výdaj</c:v>
                </c:pt>
              </c:strCache>
            </c:strRef>
          </c:cat>
          <c:val>
            <c:numRef>
              <c:f>'BP_Actuaria_2020_bez úpravy'!$K$85:$L$85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F60F-406F-9AD9-BABC51183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136953"/>
        <c:axId val="1105704856"/>
      </c:barChart>
      <c:catAx>
        <c:axId val="2099136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105704856"/>
        <c:crosses val="autoZero"/>
        <c:auto val="1"/>
        <c:lblAlgn val="ctr"/>
        <c:lblOffset val="100"/>
        <c:noMultiLvlLbl val="1"/>
      </c:catAx>
      <c:valAx>
        <c:axId val="11057048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209913695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80747188753177"/>
          <c:y val="0.86367199245725357"/>
        </c:manualLayout>
      </c:layout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Příjmy a výdaje 2021- porovnání před a po úpravě (s DPH, tis. Kč)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595962295021315E-2"/>
          <c:y val="0.12571552559772142"/>
          <c:w val="0.92883643848786013"/>
          <c:h val="0.64692250847284871"/>
        </c:manualLayout>
      </c:layout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Graf!$C$5:$F$5</c:f>
              <c:numCache>
                <c:formatCode>#,##0</c:formatCode>
                <c:ptCount val="4"/>
                <c:pt idx="0">
                  <c:v>130.5</c:v>
                </c:pt>
                <c:pt idx="1">
                  <c:v>123.828</c:v>
                </c:pt>
                <c:pt idx="2">
                  <c:v>130.5</c:v>
                </c:pt>
                <c:pt idx="3">
                  <c:v>123.828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60F-478E-9844-6AB16EEC39E6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973F9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Graf!$C$6:$F$6</c:f>
              <c:numCache>
                <c:formatCode>#,##0</c:formatCode>
                <c:ptCount val="4"/>
                <c:pt idx="0">
                  <c:v>107</c:v>
                </c:pt>
                <c:pt idx="1">
                  <c:v>103.02</c:v>
                </c:pt>
                <c:pt idx="2">
                  <c:v>53.5</c:v>
                </c:pt>
                <c:pt idx="3">
                  <c:v>103.02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60F-478E-9844-6AB16EEC39E6}"/>
            </c:ext>
          </c:extLst>
        </c:ser>
        <c:ser>
          <c:idx val="2"/>
          <c:order val="2"/>
          <c:tx>
            <c:v>CERA</c:v>
          </c:tx>
          <c:spPr>
            <a:solidFill>
              <a:srgbClr val="F2652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Graf!$C$7:$F$7</c:f>
              <c:numCache>
                <c:formatCode>#,##0</c:formatCode>
                <c:ptCount val="4"/>
                <c:pt idx="0">
                  <c:v>4</c:v>
                </c:pt>
                <c:pt idx="1">
                  <c:v>35.496000000000002</c:v>
                </c:pt>
                <c:pt idx="2">
                  <c:v>4</c:v>
                </c:pt>
                <c:pt idx="3">
                  <c:v>35.496000000000002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60F-478E-9844-6AB16EEC39E6}"/>
            </c:ext>
          </c:extLst>
        </c:ser>
        <c:ser>
          <c:idx val="3"/>
          <c:order val="3"/>
          <c:tx>
            <c:v>CERA - financování z rezervy</c:v>
          </c:tx>
          <c:spPr>
            <a:solidFill>
              <a:srgbClr val="FBBF13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Graf!$C$8:$F$8</c:f>
              <c:numCache>
                <c:formatCode>#,##0</c:formatCode>
                <c:ptCount val="4"/>
                <c:pt idx="0">
                  <c:v>31.496000000000002</c:v>
                </c:pt>
                <c:pt idx="1">
                  <c:v>0</c:v>
                </c:pt>
                <c:pt idx="2">
                  <c:v>31.496000000000002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60F-478E-9844-6AB16EEC39E6}"/>
            </c:ext>
          </c:extLst>
        </c:ser>
        <c:ser>
          <c:idx val="4"/>
          <c:order val="4"/>
          <c:tx>
            <c:v>Vzdělávání/publikace</c:v>
          </c:tx>
          <c:spPr>
            <a:solidFill>
              <a:srgbClr val="CDDC3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2060"/>
                    </a:solidFill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Graf!$C$9:$F$9</c:f>
              <c:numCache>
                <c:formatCode>#,##0</c:formatCode>
                <c:ptCount val="4"/>
                <c:pt idx="0">
                  <c:v>120.59345620050811</c:v>
                </c:pt>
                <c:pt idx="1">
                  <c:v>79.52</c:v>
                </c:pt>
                <c:pt idx="2">
                  <c:v>120.59345620050811</c:v>
                </c:pt>
                <c:pt idx="3">
                  <c:v>79.52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B60F-478E-9844-6AB16EEC39E6}"/>
            </c:ext>
          </c:extLst>
        </c:ser>
        <c:ser>
          <c:idx val="5"/>
          <c:order val="5"/>
          <c:tx>
            <c:v>Setkání po valné hromadě</c:v>
          </c:tx>
          <c:spPr>
            <a:solidFill>
              <a:srgbClr val="51B04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Graf!$C$4:$F$4</c:f>
              <c:strCache>
                <c:ptCount val="4"/>
                <c:pt idx="0">
                  <c:v>Příjem - návrh</c:v>
                </c:pt>
                <c:pt idx="1">
                  <c:v>Výdaje - návrh</c:v>
                </c:pt>
                <c:pt idx="2">
                  <c:v>Příjem - dosud</c:v>
                </c:pt>
                <c:pt idx="3">
                  <c:v>Výdaje - dosud</c:v>
                </c:pt>
              </c:strCache>
            </c:strRef>
          </c:cat>
          <c:val>
            <c:numRef>
              <c:f>Graf!$C$10:$F$10</c:f>
              <c:numCache>
                <c:formatCode>#,##0</c:formatCode>
                <c:ptCount val="4"/>
                <c:pt idx="0">
                  <c:v>0</c:v>
                </c:pt>
                <c:pt idx="1">
                  <c:v>51</c:v>
                </c:pt>
                <c:pt idx="2">
                  <c:v>0</c:v>
                </c:pt>
                <c:pt idx="3">
                  <c:v>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B60F-478E-9844-6AB16EEC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1102245"/>
        <c:axId val="727589678"/>
      </c:barChart>
      <c:catAx>
        <c:axId val="14211022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727589678"/>
        <c:crosses val="autoZero"/>
        <c:auto val="1"/>
        <c:lblAlgn val="ctr"/>
        <c:lblOffset val="100"/>
        <c:noMultiLvlLbl val="1"/>
      </c:catAx>
      <c:valAx>
        <c:axId val="7275896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42110224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80747188753177"/>
          <c:y val="0.86367199245725357"/>
        </c:manualLayout>
      </c:layout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Financování mezinárodních členství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Dostaneme certifikát &amp; CERA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BP_Actuaria_2020_sensDPH!$K$62:$N$62</c:f>
              <c:numCache>
                <c:formatCode>#,##0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General">
                  <c:v>2024</c:v>
                </c:pt>
              </c:numCache>
            </c:numRef>
          </c:cat>
          <c:val>
            <c:numRef>
              <c:f>BP_Actuaria_2020_sensDPH!$K$63:$N$63</c:f>
              <c:numCache>
                <c:formatCode>#,##0</c:formatCode>
                <c:ptCount val="4"/>
                <c:pt idx="0">
                  <c:v>111000</c:v>
                </c:pt>
                <c:pt idx="1">
                  <c:v>117000</c:v>
                </c:pt>
                <c:pt idx="2">
                  <c:v>127000</c:v>
                </c:pt>
                <c:pt idx="3">
                  <c:v>137000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0-46A9-9096-672BFDBBC6D6}"/>
            </c:ext>
          </c:extLst>
        </c:ser>
        <c:ser>
          <c:idx val="1"/>
          <c:order val="1"/>
          <c:tx>
            <c:v>Dáme členství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BP_Actuaria_2020_sensDPH!$K$62:$N$62</c:f>
              <c:numCache>
                <c:formatCode>#,##0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General">
                  <c:v>2024</c:v>
                </c:pt>
              </c:numCache>
            </c:numRef>
          </c:cat>
          <c:val>
            <c:numRef>
              <c:f>BP_Actuaria_2020_sensDPH!$K$64:$N$64</c:f>
              <c:numCache>
                <c:formatCode>#,##0</c:formatCode>
                <c:ptCount val="4"/>
                <c:pt idx="0">
                  <c:v>138516</c:v>
                </c:pt>
                <c:pt idx="1">
                  <c:v>141286.32</c:v>
                </c:pt>
                <c:pt idx="2">
                  <c:v>144112.04639999999</c:v>
                </c:pt>
                <c:pt idx="3">
                  <c:v>146994.28732800001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0-46A9-9096-672BFDBB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940511"/>
        <c:axId val="1388803089"/>
      </c:lineChart>
      <c:catAx>
        <c:axId val="825940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388803089"/>
        <c:crosses val="autoZero"/>
        <c:auto val="1"/>
        <c:lblAlgn val="ctr"/>
        <c:lblOffset val="100"/>
        <c:noMultiLvlLbl val="1"/>
      </c:catAx>
      <c:valAx>
        <c:axId val="13888030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82594051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Rok 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cat>
            <c:strRef>
              <c:f>BP_Actuaria_2020_sensDPH!$K$49:$L$49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BP_Actuaria_2020_sensDPH!$K$50:$L$50</c:f>
              <c:numCache>
                <c:formatCode>#,##0</c:formatCode>
                <c:ptCount val="2"/>
                <c:pt idx="0">
                  <c:v>130500</c:v>
                </c:pt>
                <c:pt idx="1">
                  <c:v>126031.2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CD6-415F-B98A-3C032DCF9722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973F98"/>
            </a:solidFill>
          </c:spPr>
          <c:invertIfNegative val="1"/>
          <c:cat>
            <c:strRef>
              <c:f>BP_Actuaria_2020_sensDPH!$K$49:$L$49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BP_Actuaria_2020_sensDPH!$K$51:$L$51</c:f>
              <c:numCache>
                <c:formatCode>#,##0</c:formatCode>
                <c:ptCount val="2"/>
                <c:pt idx="0">
                  <c:v>107000</c:v>
                </c:pt>
                <c:pt idx="1">
                  <c:v>103020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CD6-415F-B98A-3C032DCF9722}"/>
            </c:ext>
          </c:extLst>
        </c:ser>
        <c:ser>
          <c:idx val="2"/>
          <c:order val="2"/>
          <c:tx>
            <c:v>CERA</c:v>
          </c:tx>
          <c:spPr>
            <a:solidFill>
              <a:srgbClr val="F2652A"/>
            </a:solidFill>
          </c:spPr>
          <c:invertIfNegative val="1"/>
          <c:cat>
            <c:strRef>
              <c:f>BP_Actuaria_2020_sensDPH!$K$49:$L$49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BP_Actuaria_2020_sensDPH!$K$52:$L$52</c:f>
              <c:numCache>
                <c:formatCode>#,##0</c:formatCode>
                <c:ptCount val="2"/>
                <c:pt idx="0">
                  <c:v>4000</c:v>
                </c:pt>
                <c:pt idx="1">
                  <c:v>35496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CD6-415F-B98A-3C032DCF9722}"/>
            </c:ext>
          </c:extLst>
        </c:ser>
        <c:ser>
          <c:idx val="3"/>
          <c:order val="3"/>
          <c:tx>
            <c:v>Vzdělávání/publikace</c:v>
          </c:tx>
          <c:spPr>
            <a:solidFill>
              <a:srgbClr val="FBBF13"/>
            </a:solidFill>
          </c:spPr>
          <c:invertIfNegative val="1"/>
          <c:cat>
            <c:strRef>
              <c:f>BP_Actuaria_2020_sensDPH!$K$49:$L$49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BP_Actuaria_2020_sensDPH!$K$53:$L$53</c:f>
              <c:numCache>
                <c:formatCode>#,##0</c:formatCode>
                <c:ptCount val="2"/>
                <c:pt idx="0">
                  <c:v>582045.00970873784</c:v>
                </c:pt>
                <c:pt idx="1">
                  <c:v>541745.40474789916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CD6-415F-B98A-3C032DCF9722}"/>
            </c:ext>
          </c:extLst>
        </c:ser>
        <c:ser>
          <c:idx val="4"/>
          <c:order val="4"/>
          <c:tx>
            <c:v>Setkání po valné hromadě</c:v>
          </c:tx>
          <c:spPr>
            <a:solidFill>
              <a:srgbClr val="CDDC35"/>
            </a:solidFill>
          </c:spPr>
          <c:invertIfNegative val="1"/>
          <c:cat>
            <c:strRef>
              <c:f>BP_Actuaria_2020_sensDPH!$K$49:$L$49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BP_Actuaria_2020_sensDPH!$K$54:$L$54</c:f>
              <c:numCache>
                <c:formatCode>#,##0</c:formatCode>
                <c:ptCount val="2"/>
                <c:pt idx="1">
                  <c:v>51000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CD6-415F-B98A-3C032DCF9722}"/>
            </c:ext>
          </c:extLst>
        </c:ser>
        <c:ser>
          <c:idx val="5"/>
          <c:order val="5"/>
          <c:tx>
            <c:v>Daň z příjmu</c:v>
          </c:tx>
          <c:spPr>
            <a:solidFill>
              <a:srgbClr val="51B04C"/>
            </a:solidFill>
          </c:spPr>
          <c:invertIfNegative val="1"/>
          <c:cat>
            <c:strRef>
              <c:f>BP_Actuaria_2020_sensDPH!$K$49:$L$49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BP_Actuaria_2020_sensDPH!$K$55:$L$55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ECD6-415F-B98A-3C032DCF9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712237"/>
        <c:axId val="769694491"/>
      </c:barChart>
      <c:catAx>
        <c:axId val="12817122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769694491"/>
        <c:crosses val="autoZero"/>
        <c:auto val="1"/>
        <c:lblAlgn val="ctr"/>
        <c:lblOffset val="100"/>
        <c:noMultiLvlLbl val="1"/>
      </c:catAx>
      <c:valAx>
        <c:axId val="7696944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28171223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8E91"/>
                </a:solidFill>
                <a:latin typeface="+mn-lt"/>
              </a:defRPr>
            </a:pPr>
            <a:r>
              <a:rPr lang="cs-CZ" sz="1400" b="0" i="0">
                <a:solidFill>
                  <a:srgbClr val="758E91"/>
                </a:solidFill>
                <a:latin typeface="+mn-lt"/>
              </a:rPr>
              <a:t>Příjmy a výdaje 2021- po navrhnované úpravě příspěvků (tis. Kč)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595962295021315E-2"/>
          <c:y val="0.12571552559772142"/>
          <c:w val="0.92883643848786013"/>
          <c:h val="0.64692250847284871"/>
        </c:manualLayout>
      </c:layout>
      <c:barChart>
        <c:barDir val="col"/>
        <c:grouping val="stacked"/>
        <c:varyColors val="1"/>
        <c:ser>
          <c:idx val="0"/>
          <c:order val="0"/>
          <c:tx>
            <c:v>Příspěvky/Provoz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BP_Actuaria_2020_sensDPH!$K$79:$L$79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BP_Actuaria_2020_sensDPH!$K$80:$L$80</c:f>
              <c:numCache>
                <c:formatCode>#,##0</c:formatCode>
                <c:ptCount val="2"/>
                <c:pt idx="0">
                  <c:v>130.5</c:v>
                </c:pt>
                <c:pt idx="1">
                  <c:v>126.0312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E95-44B3-B786-017A445E13AB}"/>
            </c:ext>
          </c:extLst>
        </c:ser>
        <c:ser>
          <c:idx val="1"/>
          <c:order val="1"/>
          <c:tx>
            <c:v>Příplatek za osvědčení/Mezinárodní členství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BP_Actuaria_2020_sensDPH!$K$79:$L$79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BP_Actuaria_2020_sensDPH!$K$81:$L$81</c:f>
              <c:numCache>
                <c:formatCode>#,##0</c:formatCode>
                <c:ptCount val="2"/>
                <c:pt idx="0">
                  <c:v>107</c:v>
                </c:pt>
                <c:pt idx="1">
                  <c:v>103.02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E95-44B3-B786-017A445E13AB}"/>
            </c:ext>
          </c:extLst>
        </c:ser>
        <c:ser>
          <c:idx val="2"/>
          <c:order val="2"/>
          <c:tx>
            <c:v>CERA</c:v>
          </c:tx>
          <c:spPr>
            <a:solidFill>
              <a:srgbClr val="4555A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BP_Actuaria_2020_sensDPH!$K$79:$L$79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BP_Actuaria_2020_sensDPH!$K$82:$L$82</c:f>
              <c:numCache>
                <c:formatCode>#,##0</c:formatCode>
                <c:ptCount val="2"/>
                <c:pt idx="0">
                  <c:v>4</c:v>
                </c:pt>
                <c:pt idx="1">
                  <c:v>35.496000000000002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E95-44B3-B786-017A445E13AB}"/>
            </c:ext>
          </c:extLst>
        </c:ser>
        <c:ser>
          <c:idx val="3"/>
          <c:order val="3"/>
          <c:tx>
            <c:v>Vzdělávání/publikace</c:v>
          </c:tx>
          <c:spPr>
            <a:solidFill>
              <a:srgbClr val="F2652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BP_Actuaria_2020_sensDPH!$K$79:$L$79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BP_Actuaria_2020_sensDPH!$K$83:$L$83</c:f>
              <c:numCache>
                <c:formatCode>#,##0</c:formatCode>
                <c:ptCount val="2"/>
                <c:pt idx="0">
                  <c:v>119.81960496083869</c:v>
                </c:pt>
                <c:pt idx="1">
                  <c:v>79.52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E95-44B3-B786-017A445E13AB}"/>
            </c:ext>
          </c:extLst>
        </c:ser>
        <c:ser>
          <c:idx val="4"/>
          <c:order val="4"/>
          <c:tx>
            <c:v>Setkání po valné hromadě</c:v>
          </c:tx>
          <c:spPr>
            <a:solidFill>
              <a:srgbClr val="FBBF13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BP_Actuaria_2020_sensDPH!$K$79:$L$79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BP_Actuaria_2020_sensDPH!$K$84:$L$84</c:f>
              <c:numCache>
                <c:formatCode>#,##0</c:formatCode>
                <c:ptCount val="2"/>
                <c:pt idx="0">
                  <c:v>0</c:v>
                </c:pt>
                <c:pt idx="1">
                  <c:v>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E95-44B3-B786-017A445E13AB}"/>
            </c:ext>
          </c:extLst>
        </c:ser>
        <c:ser>
          <c:idx val="5"/>
          <c:order val="5"/>
          <c:tx>
            <c:v>Daň z příjmu</c:v>
          </c:tx>
          <c:spPr>
            <a:solidFill>
              <a:srgbClr val="CDDC35"/>
            </a:solidFill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4E95-44B3-B786-017A445E13AB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 lvl="0">
                    <a:defRPr sz="1100" b="0" i="0">
                      <a:latin typeface="+mn-lt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E95-44B3-B786-017A445E1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BP_Actuaria_2020_sensDPH!$K$79:$L$79</c:f>
              <c:strCache>
                <c:ptCount val="2"/>
                <c:pt idx="0">
                  <c:v>Příjem</c:v>
                </c:pt>
                <c:pt idx="1">
                  <c:v>Výdej</c:v>
                </c:pt>
              </c:strCache>
            </c:strRef>
          </c:cat>
          <c:val>
            <c:numRef>
              <c:f>BP_Actuaria_2020_sensDPH!$K$85:$L$85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4E95-44B3-B786-017A445E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3348891"/>
        <c:axId val="1042060141"/>
      </c:barChart>
      <c:catAx>
        <c:axId val="19333488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042060141"/>
        <c:crosses val="autoZero"/>
        <c:auto val="1"/>
        <c:lblAlgn val="ctr"/>
        <c:lblOffset val="100"/>
        <c:noMultiLvlLbl val="1"/>
      </c:catAx>
      <c:valAx>
        <c:axId val="10420601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2E34"/>
                    </a:solidFill>
                    <a:latin typeface="+mn-lt"/>
                  </a:defRPr>
                </a:pP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2E34"/>
                </a:solidFill>
                <a:latin typeface="+mn-lt"/>
              </a:defRPr>
            </a:pPr>
            <a:endParaRPr lang="cs-CZ"/>
          </a:p>
        </c:txPr>
        <c:crossAx val="193334889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80747188753177"/>
          <c:y val="0.86367199245725357"/>
        </c:manualLayout>
      </c:layout>
      <c:overlay val="0"/>
      <c:txPr>
        <a:bodyPr/>
        <a:lstStyle/>
        <a:p>
          <a:pPr lvl="0">
            <a:defRPr sz="900" b="0" i="0">
              <a:solidFill>
                <a:srgbClr val="1A4348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6905625" cy="4114800"/>
    <xdr:graphicFrame macro="">
      <xdr:nvGraphicFramePr>
        <xdr:cNvPr id="542479546" name="Chart 1">
          <a:extLst>
            <a:ext uri="{FF2B5EF4-FFF2-40B4-BE49-F238E27FC236}">
              <a16:creationId xmlns:a16="http://schemas.microsoft.com/office/drawing/2014/main" id="{00000000-0008-0000-0000-0000BA945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409575</xdr:colOff>
      <xdr:row>65</xdr:row>
      <xdr:rowOff>9525</xdr:rowOff>
    </xdr:from>
    <xdr:ext cx="3810000" cy="20764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6C262AA-D82D-4D6F-AE86-2ED564E6C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361950</xdr:colOff>
      <xdr:row>41</xdr:row>
      <xdr:rowOff>9525</xdr:rowOff>
    </xdr:from>
    <xdr:ext cx="6905625" cy="32670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2CAA170-D644-4282-9A5A-2EF52020B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485775</xdr:colOff>
      <xdr:row>67</xdr:row>
      <xdr:rowOff>95250</xdr:rowOff>
    </xdr:from>
    <xdr:ext cx="7000875" cy="4124325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3DE063D-7BC9-48AF-914E-F5012BE44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409575</xdr:colOff>
      <xdr:row>65</xdr:row>
      <xdr:rowOff>9525</xdr:rowOff>
    </xdr:from>
    <xdr:ext cx="3810000" cy="2076450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4709CA4-B98E-4045-BF5D-E1B728BD3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361950</xdr:colOff>
      <xdr:row>41</xdr:row>
      <xdr:rowOff>9525</xdr:rowOff>
    </xdr:from>
    <xdr:ext cx="6905625" cy="3267075"/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6C03FE03-42D5-421D-9B0C-75E11D8EA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485775</xdr:colOff>
      <xdr:row>67</xdr:row>
      <xdr:rowOff>95250</xdr:rowOff>
    </xdr:from>
    <xdr:ext cx="7000875" cy="4124325"/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8AD28536-0052-4FD7-BC5D-B19573E72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1</xdr:row>
      <xdr:rowOff>161925</xdr:rowOff>
    </xdr:from>
    <xdr:ext cx="6762750" cy="4124325"/>
    <xdr:graphicFrame macro="">
      <xdr:nvGraphicFramePr>
        <xdr:cNvPr id="1885311725" name="Chart 8">
          <a:extLst>
            <a:ext uri="{FF2B5EF4-FFF2-40B4-BE49-F238E27FC236}">
              <a16:creationId xmlns:a16="http://schemas.microsoft.com/office/drawing/2014/main" id="{00000000-0008-0000-0700-0000ED925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409575</xdr:colOff>
      <xdr:row>65</xdr:row>
      <xdr:rowOff>9525</xdr:rowOff>
    </xdr:from>
    <xdr:ext cx="3810000" cy="20764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878FB9E-74AE-4A5E-8B9B-916E9AA21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361950</xdr:colOff>
      <xdr:row>41</xdr:row>
      <xdr:rowOff>9525</xdr:rowOff>
    </xdr:from>
    <xdr:ext cx="6905625" cy="32670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76B96F0-DED3-4D26-85C3-5A5DAA464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485775</xdr:colOff>
      <xdr:row>67</xdr:row>
      <xdr:rowOff>95250</xdr:rowOff>
    </xdr:from>
    <xdr:ext cx="7000875" cy="4124325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59C82D0-69B8-4460-881F-CF8CBA7B9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nika Stastkova" id="{38C9994C-923A-4618-A21F-42F8EE49B15F}" userId="S::Monika.Stastkova@cz.ey.com::c05b2708-e4af-4e14-aab2-416c8f65f98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2E34"/>
      </a:dk1>
      <a:lt1>
        <a:srgbClr val="FFFFFF"/>
      </a:lt1>
      <a:dk2>
        <a:srgbClr val="002E34"/>
      </a:dk2>
      <a:lt2>
        <a:srgbClr val="FFFFFF"/>
      </a:lt2>
      <a:accent1>
        <a:srgbClr val="4555A5"/>
      </a:accent1>
      <a:accent2>
        <a:srgbClr val="973F98"/>
      </a:accent2>
      <a:accent3>
        <a:srgbClr val="F2652A"/>
      </a:accent3>
      <a:accent4>
        <a:srgbClr val="FBBF13"/>
      </a:accent4>
      <a:accent5>
        <a:srgbClr val="CDDC35"/>
      </a:accent5>
      <a:accent6>
        <a:srgbClr val="51B04C"/>
      </a:accent6>
      <a:hlink>
        <a:srgbClr val="4555A5"/>
      </a:hlink>
      <a:folHlink>
        <a:srgbClr val="4555A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0-10-27T18:52:08.18" personId="{38C9994C-923A-4618-A21F-42F8EE49B15F}" id="{3AA57A0D-7370-40BA-953A-F74624C6A79E}">
    <text>Výdaj rozložený v čase</text>
  </threadedComment>
  <threadedComment ref="J9" dT="2020-10-27T18:52:08.18" personId="{38C9994C-923A-4618-A21F-42F8EE49B15F}" id="{2935C9F3-1964-4694-83EA-E988425298D2}">
    <text>Výdaj rozložený v čase</text>
  </threadedComment>
  <threadedComment ref="Q9" dT="2020-10-27T18:52:08.18" personId="{38C9994C-923A-4618-A21F-42F8EE49B15F}" id="{CBD04B97-2ACC-4D6D-82FA-A49CA5893444}">
    <text>Výdaj rozložený v čase</text>
  </threadedComment>
  <threadedComment ref="C10" dT="2020-10-27T18:52:08.18" personId="{38C9994C-923A-4618-A21F-42F8EE49B15F}" id="{D95554EB-2777-442C-9CDE-4DA3A543F5C7}">
    <text>Výdaj rozložený v čase</text>
  </threadedComment>
  <threadedComment ref="J10" dT="2020-10-27T18:52:08.18" personId="{38C9994C-923A-4618-A21F-42F8EE49B15F}" id="{01F7CB36-5B57-47E7-B0DB-AC726F464401}">
    <text>Výdaj rozložený v čase</text>
  </threadedComment>
  <threadedComment ref="Q10" dT="2020-10-27T18:52:08.18" personId="{38C9994C-923A-4618-A21F-42F8EE49B15F}" id="{B30938A0-4700-4C87-BDA9-2948163C4600}">
    <text>Výdaj rozložený v čase</text>
  </threadedComment>
  <threadedComment ref="C11" dT="2020-10-27T18:52:08.18" personId="{38C9994C-923A-4618-A21F-42F8EE49B15F}" id="{B31AD8B1-F7DF-434A-8943-4F648C5D6AFE}">
    <text>Výdaj rozložený v čase</text>
  </threadedComment>
  <threadedComment ref="J11" dT="2020-10-27T18:52:08.18" personId="{38C9994C-923A-4618-A21F-42F8EE49B15F}" id="{1F17F1B5-87A9-40F7-A680-1C126F20DEA2}">
    <text>Výdaj rozložený v čase</text>
  </threadedComment>
  <threadedComment ref="Q11" dT="2020-10-27T18:52:08.18" personId="{38C9994C-923A-4618-A21F-42F8EE49B15F}" id="{CE3F339F-1400-4088-AF08-149C08AD4381}">
    <text>Výdaj rozložený v čase</text>
  </threadedComment>
  <threadedComment ref="C22" dT="2020-10-27T18:58:10.41" personId="{38C9994C-923A-4618-A21F-42F8EE49B15F}" id="{8CEB3730-26B2-449C-A5B0-7601B287E005}">
    <text>Základ daně bez DPH</text>
  </threadedComment>
  <threadedComment ref="B99" dT="2020-10-27T18:53:34.17" personId="{38C9994C-923A-4618-A21F-42F8EE49B15F}" id="{1B590A37-9861-47D3-8AC3-4E6177313F87}">
    <text>Odhad</text>
  </threadedComment>
  <threadedComment ref="C107" dT="2020-10-27T18:52:08.18" personId="{38C9994C-923A-4618-A21F-42F8EE49B15F}" id="{AA0A471C-22EF-40EC-A62B-32D0D2780C2C}">
    <text>Výdaj rozložený v čase</text>
  </threadedComment>
  <threadedComment ref="B109" dT="2020-10-27T18:55:19.26" personId="{38C9994C-923A-4618-A21F-42F8EE49B15F}" id="{9B4700DB-222D-418B-B56B-276D5E1955F8}">
    <text>Odhad</text>
  </threadedComment>
  <threadedComment ref="C113" dT="2020-10-27T18:52:08.18" personId="{38C9994C-923A-4618-A21F-42F8EE49B15F}" id="{8C22A179-BEE9-45DF-8B1F-81D13A172752}">
    <text>Výdaj rozložený v čase</text>
  </threadedComment>
  <threadedComment ref="C136" dT="2020-10-27T18:52:08.18" personId="{38C9994C-923A-4618-A21F-42F8EE49B15F}" id="{FA6B9F41-8D7B-4C32-B3F9-266F6806234D}">
    <text>Výdaj rozložený v čase</text>
  </threadedComment>
  <threadedComment ref="D148" dT="2020-10-22T20:48:59.83" personId="{38C9994C-923A-4618-A21F-42F8EE49B15F}" id="{F4BBDFAC-F88F-4265-88F8-25AF683D311C}">
    <text>Vratka DPH za rok 2019 (konference 100 let)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0-10-25T21:56:13.55" personId="{38C9994C-923A-4618-A21F-42F8EE49B15F}" id="{8626CCBC-BE03-4861-874C-494B8221C776}">
    <text>Realita v 2019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9" dT="2020-10-27T18:52:08.18" personId="{38C9994C-923A-4618-A21F-42F8EE49B15F}" id="{053AF3B3-7165-433A-98CA-4D67BC0351F0}">
    <text>Výdaj rozložený v čase</text>
  </threadedComment>
  <threadedComment ref="J9" dT="2020-10-27T18:52:08.18" personId="{38C9994C-923A-4618-A21F-42F8EE49B15F}" id="{B103CBF4-8F43-4EA8-8CDA-57035821D0FD}">
    <text>Výdaj rozložený v čase</text>
  </threadedComment>
  <threadedComment ref="Q9" dT="2020-10-27T18:52:08.18" personId="{38C9994C-923A-4618-A21F-42F8EE49B15F}" id="{AE719882-8990-4D18-A391-479C66255189}">
    <text>Výdaj rozložený v čase</text>
  </threadedComment>
  <threadedComment ref="C10" dT="2020-10-27T18:52:08.18" personId="{38C9994C-923A-4618-A21F-42F8EE49B15F}" id="{48AB1404-4FBA-428F-BC53-2AA8B9911858}">
    <text>Výdaj rozložený v čase</text>
  </threadedComment>
  <threadedComment ref="J10" dT="2020-10-27T18:52:08.18" personId="{38C9994C-923A-4618-A21F-42F8EE49B15F}" id="{9B008D09-8445-4E17-AE88-C1FB6AADCA4D}">
    <text>Výdaj rozložený v čase</text>
  </threadedComment>
  <threadedComment ref="Q10" dT="2020-10-27T18:52:08.18" personId="{38C9994C-923A-4618-A21F-42F8EE49B15F}" id="{AED42E63-12D6-45AA-941A-75A4A5E572A7}">
    <text>Výdaj rozložený v čase</text>
  </threadedComment>
  <threadedComment ref="C11" dT="2020-10-27T18:52:08.18" personId="{38C9994C-923A-4618-A21F-42F8EE49B15F}" id="{6EDA9935-FA7E-4572-BB7A-812C2D62EC85}">
    <text>Výdaj rozložený v čase</text>
  </threadedComment>
  <threadedComment ref="J11" dT="2020-10-27T18:52:08.18" personId="{38C9994C-923A-4618-A21F-42F8EE49B15F}" id="{BFB0C36B-63A0-4AC1-B322-867F8FA2E60F}">
    <text>Výdaj rozložený v čase</text>
  </threadedComment>
  <threadedComment ref="Q11" dT="2020-10-27T18:52:08.18" personId="{38C9994C-923A-4618-A21F-42F8EE49B15F}" id="{F8B4A094-6469-4D18-9693-84E9938CCE46}">
    <text>Výdaj rozložený v čase</text>
  </threadedComment>
  <threadedComment ref="C22" personId="{00000000-0000-0000-0000-000000000000}" id="{904EA088-A975-4675-8B8D-87516B4E88FA}">
    <text>======
ID#AAAAKaR4a_o
tc={30F0AC93-5F81-4094-AD24-45F3BB99DE66}    (2020-09-30 09:59:30)
[Threaded comment]
Your version of Excel allows you to read this threaded comment; however, any edits to it will get removed if the file is opened in a newer version of Excel. Learn more: https://go.microsoft.com/fwlink/?linkid=870924
Comment:
    Základ daně bez DPH</text>
  </threadedComment>
  <threadedComment ref="B99" personId="{00000000-0000-0000-0000-000000000000}" id="{B953CB16-DB8A-47A3-8DE3-BB54FF8FA0C4}">
    <text>Odhad</text>
  </threadedComment>
  <threadedComment ref="C107" dT="2020-10-27T18:52:08.18" personId="{38C9994C-923A-4618-A21F-42F8EE49B15F}" id="{45A475F1-3AC2-4F5F-B580-54C490A0B6EC}">
    <text>Výdaj rozložený v čase</text>
  </threadedComment>
  <threadedComment ref="B109" personId="{00000000-0000-0000-0000-000000000000}" id="{38CCAAE9-464A-4152-84E7-B61E11DAA71F}">
    <text>Odhad</text>
  </threadedComment>
  <threadedComment ref="C113" dT="2020-10-27T18:52:08.18" personId="{38C9994C-923A-4618-A21F-42F8EE49B15F}" id="{06B66F46-FDA3-46ED-B307-F202DCF024D3}">
    <text>Výdaj rozložený v čase</text>
  </threadedComment>
  <threadedComment ref="C136" dT="2020-10-27T18:52:08.18" personId="{38C9994C-923A-4618-A21F-42F8EE49B15F}" id="{DC8D333D-EC8A-474E-A511-AA35F0E4B09C}">
    <text>Výdaj rozložený v čase</text>
  </threadedComment>
  <threadedComment ref="D148" dT="2020-10-22T20:48:59.83" personId="{38C9994C-923A-4618-A21F-42F8EE49B15F}" id="{F754BCB6-BC5C-4422-B61B-DFDC204BEA07}">
    <text>Vratka DPH za rok 2019 (konference 100 let)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9" dT="2020-10-27T18:52:08.18" personId="{38C9994C-923A-4618-A21F-42F8EE49B15F}" id="{E8B5C21E-542F-41AC-AF22-2FDA8A42FE42}">
    <text>Výdaj rozložený v čase</text>
  </threadedComment>
  <threadedComment ref="J9" dT="2020-10-27T18:52:08.18" personId="{38C9994C-923A-4618-A21F-42F8EE49B15F}" id="{C82F6328-BCC0-4F67-8F53-D1E985A46A25}">
    <text>Výdaj rozložený v čase</text>
  </threadedComment>
  <threadedComment ref="Q9" dT="2020-10-27T18:52:08.18" personId="{38C9994C-923A-4618-A21F-42F8EE49B15F}" id="{AF552D3C-B377-4FD2-B72B-957F65FB790C}">
    <text>Výdaj rozložený v čase</text>
  </threadedComment>
  <threadedComment ref="C10" dT="2020-10-27T18:52:08.18" personId="{38C9994C-923A-4618-A21F-42F8EE49B15F}" id="{8C5EEB12-16E4-4C61-BBF3-5DF6AF5990C4}">
    <text>Výdaj rozložený v čase</text>
  </threadedComment>
  <threadedComment ref="J10" dT="2020-10-27T18:52:08.18" personId="{38C9994C-923A-4618-A21F-42F8EE49B15F}" id="{23FD5B95-4A44-4618-9DD6-CE0025B908B0}">
    <text>Výdaj rozložený v čase</text>
  </threadedComment>
  <threadedComment ref="Q10" dT="2020-10-27T18:52:08.18" personId="{38C9994C-923A-4618-A21F-42F8EE49B15F}" id="{0507538C-EE4C-49B9-9378-9B42B390C8B9}">
    <text>Výdaj rozložený v čase</text>
  </threadedComment>
  <threadedComment ref="C11" dT="2020-10-27T18:52:08.18" personId="{38C9994C-923A-4618-A21F-42F8EE49B15F}" id="{10DC0115-D7AF-4B05-A5C3-70F898F1F827}">
    <text>Výdaj rozložený v čase</text>
  </threadedComment>
  <threadedComment ref="J11" dT="2020-10-27T18:52:08.18" personId="{38C9994C-923A-4618-A21F-42F8EE49B15F}" id="{C8374E93-51EA-4D1A-9EA6-B7F9B8844518}">
    <text>Výdaj rozložený v čase</text>
  </threadedComment>
  <threadedComment ref="Q11" dT="2020-10-27T18:52:08.18" personId="{38C9994C-923A-4618-A21F-42F8EE49B15F}" id="{62024359-9C45-41E7-887C-7B9804747BFB}">
    <text>Výdaj rozložený v čase</text>
  </threadedComment>
  <threadedComment ref="C22" personId="{00000000-0000-0000-0000-000000000000}" id="{7C24A71A-CED1-494C-9ACD-19A17E7D6C66}">
    <text>Základ daně bez DPH</text>
  </threadedComment>
  <threadedComment ref="C107" dT="2020-10-27T19:02:18.07" personId="{38C9994C-923A-4618-A21F-42F8EE49B15F}" id="{F5121810-4DB2-4CC0-83C1-09BB900841FF}">
    <text>Výdaj rozložený v čase</text>
  </threadedComment>
  <threadedComment ref="B109" personId="{00000000-0000-0000-0000-000000000000}" id="{6B0C3D88-7298-4907-8B1A-CDF21596F5FE}">
    <text>======
ID#AAAAKaR4bAQ
tc={7019E7E0-B7F4-40CE-8104-8E32E783763E}    (2020-09-30 09:59:30)
[Threaded comment]
Your version of Excel allows you to read this threaded comment; however, any edits to it will get removed if the file is opened in a newer version of Excel. Learn more: https://go.microsoft.com/fwlink/?linkid=870924
Comment:
    odhad</text>
  </threadedComment>
  <threadedComment ref="C113" dT="2020-10-27T19:02:18.07" personId="{38C9994C-923A-4618-A21F-42F8EE49B15F}" id="{A24F93CC-4F25-4A98-ABB0-53C4C62786F9}">
    <text>Výdaj rozložený v čase</text>
  </threadedComment>
  <threadedComment ref="C136" dT="2020-10-27T19:02:18.07" personId="{38C9994C-923A-4618-A21F-42F8EE49B15F}" id="{BB37D89A-B989-4D24-B7B3-FDBE419E1AEF}">
    <text>Výdaj rozložený v čase</text>
  </threadedComment>
  <threadedComment ref="D148" dT="2020-10-22T20:48:59.83" personId="{38C9994C-923A-4618-A21F-42F8EE49B15F}" id="{30A117B8-CD97-4FDC-8E34-77C145E875C3}">
    <text>Vratka DPH za rok 2019 (konference 100 let)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4F3FF"/>
  </sheetPr>
  <dimension ref="A1:Z1002"/>
  <sheetViews>
    <sheetView tabSelected="1" workbookViewId="0">
      <selection activeCell="B1" sqref="B1"/>
    </sheetView>
  </sheetViews>
  <sheetFormatPr defaultColWidth="12.625" defaultRowHeight="15" customHeight="1" x14ac:dyDescent="0.2"/>
  <cols>
    <col min="1" max="6" width="8" style="179" customWidth="1"/>
    <col min="7" max="26" width="7.625" style="179" customWidth="1"/>
    <col min="27" max="16384" width="12.625" style="179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222" t="s">
        <v>277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92"/>
      <c r="B17" s="192" t="s">
        <v>250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x14ac:dyDescent="0.25">
      <c r="A18" s="1"/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 t="s">
        <v>13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 t="s">
        <v>14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 t="s">
        <v>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92"/>
      <c r="B25" s="192" t="s">
        <v>251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 t="s">
        <v>19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 t="s">
        <v>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 t="s">
        <v>21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 t="s">
        <v>22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3" t="s">
        <v>23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222" t="s">
        <v>278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22" t="s">
        <v>279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79" t="s">
        <v>280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222" t="s">
        <v>281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1B32-E141-4941-B54C-5CB701F78E32}">
  <sheetPr>
    <tabColor rgb="FF00B0F0"/>
    <pageSetUpPr fitToPage="1"/>
  </sheetPr>
  <dimension ref="A1:Z1000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38" sqref="C138"/>
    </sheetView>
  </sheetViews>
  <sheetFormatPr defaultColWidth="12.625" defaultRowHeight="15" customHeight="1" x14ac:dyDescent="0.2"/>
  <cols>
    <col min="1" max="1" width="5.375" customWidth="1"/>
    <col min="2" max="2" width="19.75" customWidth="1"/>
    <col min="3" max="3" width="21" customWidth="1"/>
    <col min="4" max="7" width="8" customWidth="1"/>
    <col min="8" max="8" width="8.375" customWidth="1"/>
    <col min="9" max="9" width="8" customWidth="1"/>
    <col min="10" max="10" width="39.25" customWidth="1"/>
    <col min="11" max="16" width="8" customWidth="1"/>
    <col min="17" max="17" width="19.375" customWidth="1"/>
    <col min="18" max="22" width="8" customWidth="1"/>
    <col min="23" max="26" width="7.625" customWidth="1"/>
  </cols>
  <sheetData>
    <row r="1" spans="1:26" ht="15.75" x14ac:dyDescent="0.25">
      <c r="A1" s="4" t="s">
        <v>24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x14ac:dyDescent="0.25">
      <c r="A2" s="7"/>
      <c r="B2" s="8"/>
      <c r="C2" s="9" t="s">
        <v>25</v>
      </c>
      <c r="D2" s="10">
        <v>2020</v>
      </c>
      <c r="E2" s="10">
        <v>2021</v>
      </c>
      <c r="F2" s="10">
        <v>2022</v>
      </c>
      <c r="G2" s="10">
        <v>2023</v>
      </c>
      <c r="H2" s="10">
        <v>2024</v>
      </c>
      <c r="I2" s="7"/>
      <c r="J2" s="9" t="s">
        <v>26</v>
      </c>
      <c r="K2" s="10">
        <v>2020</v>
      </c>
      <c r="L2" s="10">
        <v>2021</v>
      </c>
      <c r="M2" s="10">
        <v>2022</v>
      </c>
      <c r="N2" s="10">
        <v>2023</v>
      </c>
      <c r="O2" s="10">
        <v>2024</v>
      </c>
      <c r="P2" s="1"/>
      <c r="Q2" s="9" t="s">
        <v>27</v>
      </c>
      <c r="R2" s="10">
        <v>2020</v>
      </c>
      <c r="S2" s="10">
        <v>2021</v>
      </c>
      <c r="T2" s="10">
        <v>2022</v>
      </c>
      <c r="U2" s="10">
        <v>2023</v>
      </c>
      <c r="V2" s="10">
        <v>2024</v>
      </c>
      <c r="W2" s="7"/>
      <c r="X2" s="7"/>
      <c r="Y2" s="7"/>
      <c r="Z2" s="7"/>
    </row>
    <row r="3" spans="1:26" x14ac:dyDescent="0.25">
      <c r="A3" s="1"/>
      <c r="B3" s="1"/>
      <c r="C3" s="11" t="s">
        <v>28</v>
      </c>
      <c r="D3" s="12"/>
      <c r="E3" s="12"/>
      <c r="F3" s="12"/>
      <c r="G3" s="12"/>
      <c r="H3" s="12"/>
      <c r="I3" s="1"/>
      <c r="J3" s="11" t="s">
        <v>28</v>
      </c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3"/>
      <c r="E4" s="13"/>
      <c r="F4" s="13"/>
      <c r="G4" s="1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 t="s">
        <v>29</v>
      </c>
      <c r="D5" s="13">
        <f t="shared" ref="D5:H5" si="0">D72</f>
        <v>204250</v>
      </c>
      <c r="E5" s="13">
        <f t="shared" si="0"/>
        <v>241500</v>
      </c>
      <c r="F5" s="13">
        <f t="shared" si="0"/>
        <v>254000</v>
      </c>
      <c r="G5" s="13">
        <f t="shared" si="0"/>
        <v>270500</v>
      </c>
      <c r="H5" s="13">
        <f t="shared" si="0"/>
        <v>287000</v>
      </c>
      <c r="I5" s="1"/>
      <c r="J5" s="1" t="s">
        <v>29</v>
      </c>
      <c r="K5" s="13">
        <f t="shared" ref="K5:O5" si="1">D73</f>
        <v>204250</v>
      </c>
      <c r="L5" s="13">
        <f t="shared" si="1"/>
        <v>241500</v>
      </c>
      <c r="M5" s="13">
        <f t="shared" si="1"/>
        <v>254000</v>
      </c>
      <c r="N5" s="13">
        <f t="shared" si="1"/>
        <v>270500</v>
      </c>
      <c r="O5" s="13">
        <f t="shared" si="1"/>
        <v>287000</v>
      </c>
      <c r="P5" s="1"/>
      <c r="Q5" s="1" t="s">
        <v>29</v>
      </c>
      <c r="R5" s="13">
        <f t="shared" ref="R5:V5" si="2">D74</f>
        <v>0</v>
      </c>
      <c r="S5" s="13">
        <f t="shared" si="2"/>
        <v>0</v>
      </c>
      <c r="T5" s="13">
        <f t="shared" si="2"/>
        <v>0</v>
      </c>
      <c r="U5" s="13">
        <f t="shared" si="2"/>
        <v>0</v>
      </c>
      <c r="V5" s="13">
        <f t="shared" si="2"/>
        <v>0</v>
      </c>
      <c r="W5" s="1"/>
      <c r="X5" s="1"/>
      <c r="Y5" s="1"/>
      <c r="Z5" s="1"/>
    </row>
    <row r="6" spans="1:26" x14ac:dyDescent="0.25">
      <c r="A6" s="1"/>
      <c r="B6" s="1"/>
      <c r="C6" s="14" t="s">
        <v>30</v>
      </c>
      <c r="D6" s="15">
        <f t="shared" ref="D6:H6" si="3">D79</f>
        <v>-124700</v>
      </c>
      <c r="E6" s="15">
        <f t="shared" si="3"/>
        <v>-138516</v>
      </c>
      <c r="F6" s="15">
        <f t="shared" si="3"/>
        <v>-141286.32</v>
      </c>
      <c r="G6" s="15">
        <f t="shared" si="3"/>
        <v>-144112.04639999999</v>
      </c>
      <c r="H6" s="15">
        <f t="shared" si="3"/>
        <v>-146994.28732800001</v>
      </c>
      <c r="I6" s="1"/>
      <c r="J6" s="14" t="s">
        <v>30</v>
      </c>
      <c r="K6" s="15">
        <f t="shared" ref="K6:O6" si="4">D80</f>
        <v>-124700</v>
      </c>
      <c r="L6" s="15">
        <f t="shared" si="4"/>
        <v>-138516</v>
      </c>
      <c r="M6" s="15">
        <f t="shared" si="4"/>
        <v>-141286.32</v>
      </c>
      <c r="N6" s="15">
        <f t="shared" si="4"/>
        <v>-144112.04639999999</v>
      </c>
      <c r="O6" s="15">
        <f t="shared" si="4"/>
        <v>-146994.28732800001</v>
      </c>
      <c r="P6" s="1"/>
      <c r="Q6" s="14" t="s">
        <v>30</v>
      </c>
      <c r="R6" s="15">
        <f t="shared" ref="R6:V6" si="5">D81</f>
        <v>0</v>
      </c>
      <c r="S6" s="15">
        <f t="shared" si="5"/>
        <v>0</v>
      </c>
      <c r="T6" s="15">
        <f t="shared" si="5"/>
        <v>0</v>
      </c>
      <c r="U6" s="15">
        <f t="shared" si="5"/>
        <v>0</v>
      </c>
      <c r="V6" s="15">
        <f t="shared" si="5"/>
        <v>0</v>
      </c>
      <c r="W6" s="1"/>
      <c r="X6" s="1"/>
      <c r="Y6" s="1"/>
      <c r="Z6" s="1"/>
    </row>
    <row r="7" spans="1:26" x14ac:dyDescent="0.25">
      <c r="A7" s="1"/>
      <c r="B7" s="1"/>
      <c r="C7" s="16" t="s">
        <v>31</v>
      </c>
      <c r="D7" s="17">
        <f t="shared" ref="D7:H7" si="6">D91</f>
        <v>119819.60496083868</v>
      </c>
      <c r="E7" s="17">
        <f t="shared" si="6"/>
        <v>119819.60496083868</v>
      </c>
      <c r="F7" s="17">
        <f t="shared" si="6"/>
        <v>119819.60496083868</v>
      </c>
      <c r="G7" s="17">
        <f t="shared" si="6"/>
        <v>119819.60496083868</v>
      </c>
      <c r="H7" s="17">
        <f t="shared" si="6"/>
        <v>119819.60496083868</v>
      </c>
      <c r="I7" s="1"/>
      <c r="J7" s="16" t="s">
        <v>31</v>
      </c>
      <c r="K7" s="13">
        <f t="shared" ref="K7:O7" si="7">D92</f>
        <v>85382.612252606719</v>
      </c>
      <c r="L7" s="13">
        <f t="shared" si="7"/>
        <v>85382.612252606719</v>
      </c>
      <c r="M7" s="13">
        <f t="shared" si="7"/>
        <v>85382.612252606719</v>
      </c>
      <c r="N7" s="13">
        <f t="shared" si="7"/>
        <v>85382.612252606719</v>
      </c>
      <c r="O7" s="13">
        <f t="shared" si="7"/>
        <v>85382.612252606719</v>
      </c>
      <c r="P7" s="1"/>
      <c r="Q7" s="1" t="s">
        <v>31</v>
      </c>
      <c r="R7" s="13">
        <f t="shared" ref="R7:V7" si="8">D85+D89</f>
        <v>-34436.992708231963</v>
      </c>
      <c r="S7" s="13">
        <f t="shared" si="8"/>
        <v>-34436.992708231963</v>
      </c>
      <c r="T7" s="13">
        <f t="shared" si="8"/>
        <v>-34436.992708231963</v>
      </c>
      <c r="U7" s="13">
        <f t="shared" si="8"/>
        <v>-34436.992708231963</v>
      </c>
      <c r="V7" s="13">
        <f t="shared" si="8"/>
        <v>-34436.992708231963</v>
      </c>
      <c r="W7" s="1"/>
      <c r="X7" s="1"/>
      <c r="Y7" s="1"/>
      <c r="Z7" s="1"/>
    </row>
    <row r="8" spans="1:26" x14ac:dyDescent="0.25">
      <c r="A8" s="1"/>
      <c r="B8" s="1"/>
      <c r="C8" s="1" t="s">
        <v>32</v>
      </c>
      <c r="D8" s="13">
        <f t="shared" ref="D8:H8" si="9">D101</f>
        <v>758.6776859504098</v>
      </c>
      <c r="E8" s="13">
        <f t="shared" si="9"/>
        <v>773.85123966942047</v>
      </c>
      <c r="F8" s="13">
        <f t="shared" si="9"/>
        <v>789.32826446280887</v>
      </c>
      <c r="G8" s="13">
        <f t="shared" si="9"/>
        <v>805.11482975206673</v>
      </c>
      <c r="H8" s="13">
        <f t="shared" si="9"/>
        <v>821.21712634710639</v>
      </c>
      <c r="I8" s="1"/>
      <c r="J8" s="1" t="s">
        <v>32</v>
      </c>
      <c r="K8" s="13">
        <f t="shared" ref="K8:O8" si="10">D102</f>
        <v>0</v>
      </c>
      <c r="L8" s="13">
        <f t="shared" si="10"/>
        <v>0</v>
      </c>
      <c r="M8" s="13">
        <f t="shared" si="10"/>
        <v>0</v>
      </c>
      <c r="N8" s="13">
        <f t="shared" si="10"/>
        <v>0</v>
      </c>
      <c r="O8" s="13">
        <f t="shared" si="10"/>
        <v>0</v>
      </c>
      <c r="P8" s="1"/>
      <c r="Q8" s="1" t="s">
        <v>32</v>
      </c>
      <c r="R8" s="13">
        <f t="shared" ref="R8:V8" si="11">D95+D99</f>
        <v>-758.67768595041071</v>
      </c>
      <c r="S8" s="13">
        <f t="shared" si="11"/>
        <v>-773.85123966942137</v>
      </c>
      <c r="T8" s="13">
        <f t="shared" si="11"/>
        <v>-789.32826446280978</v>
      </c>
      <c r="U8" s="13">
        <f t="shared" si="11"/>
        <v>-805.11482975206673</v>
      </c>
      <c r="V8" s="13">
        <f t="shared" si="11"/>
        <v>-821.2171263471073</v>
      </c>
      <c r="W8" s="1"/>
      <c r="X8" s="1"/>
      <c r="Y8" s="1"/>
      <c r="Z8" s="1"/>
    </row>
    <row r="9" spans="1:26" x14ac:dyDescent="0.25">
      <c r="A9" s="1"/>
      <c r="B9" s="1"/>
      <c r="C9" s="18" t="s">
        <v>33</v>
      </c>
      <c r="D9" s="19">
        <f t="shared" ref="D9:H9" si="12">D111</f>
        <v>-15000</v>
      </c>
      <c r="E9" s="19">
        <f t="shared" si="12"/>
        <v>-15000</v>
      </c>
      <c r="F9" s="19">
        <f t="shared" si="12"/>
        <v>-15000</v>
      </c>
      <c r="G9" s="19">
        <f t="shared" si="12"/>
        <v>-15000</v>
      </c>
      <c r="H9" s="19">
        <f t="shared" si="12"/>
        <v>-15000</v>
      </c>
      <c r="I9" s="1"/>
      <c r="J9" s="18" t="s">
        <v>33</v>
      </c>
      <c r="K9" s="19">
        <f t="shared" ref="K9:O9" si="13">D112</f>
        <v>-15000</v>
      </c>
      <c r="L9" s="19">
        <f t="shared" si="13"/>
        <v>-15000</v>
      </c>
      <c r="M9" s="19">
        <f t="shared" si="13"/>
        <v>-15000</v>
      </c>
      <c r="N9" s="19">
        <f t="shared" si="13"/>
        <v>-15000</v>
      </c>
      <c r="O9" s="19">
        <f t="shared" si="13"/>
        <v>-15000</v>
      </c>
      <c r="P9" s="1"/>
      <c r="Q9" s="18" t="s">
        <v>33</v>
      </c>
      <c r="R9" s="19">
        <f t="shared" ref="R9:V9" si="14">D105+D109</f>
        <v>0</v>
      </c>
      <c r="S9" s="19">
        <f t="shared" si="14"/>
        <v>0</v>
      </c>
      <c r="T9" s="19">
        <f t="shared" si="14"/>
        <v>0</v>
      </c>
      <c r="U9" s="19">
        <f t="shared" si="14"/>
        <v>0</v>
      </c>
      <c r="V9" s="19">
        <f t="shared" si="14"/>
        <v>0</v>
      </c>
      <c r="W9" s="1"/>
      <c r="X9" s="1"/>
      <c r="Y9" s="1"/>
      <c r="Z9" s="1"/>
    </row>
    <row r="10" spans="1:26" x14ac:dyDescent="0.25">
      <c r="A10" s="1"/>
      <c r="B10" s="1"/>
      <c r="C10" s="18" t="s">
        <v>34</v>
      </c>
      <c r="D10" s="19">
        <f t="shared" ref="D10:H10" si="15">D113</f>
        <v>-14520</v>
      </c>
      <c r="E10" s="19">
        <f t="shared" si="15"/>
        <v>-14520</v>
      </c>
      <c r="F10" s="19">
        <f t="shared" si="15"/>
        <v>-14520</v>
      </c>
      <c r="G10" s="19">
        <f t="shared" si="15"/>
        <v>-14520</v>
      </c>
      <c r="H10" s="19">
        <f t="shared" si="15"/>
        <v>-14520</v>
      </c>
      <c r="I10" s="1"/>
      <c r="J10" s="18" t="s">
        <v>34</v>
      </c>
      <c r="K10" s="19">
        <f t="shared" ref="K10:O10" si="16">D114</f>
        <v>-12000</v>
      </c>
      <c r="L10" s="19">
        <f t="shared" si="16"/>
        <v>-12000</v>
      </c>
      <c r="M10" s="19">
        <f t="shared" si="16"/>
        <v>-12000</v>
      </c>
      <c r="N10" s="19">
        <f t="shared" si="16"/>
        <v>-12000</v>
      </c>
      <c r="O10" s="19">
        <f t="shared" si="16"/>
        <v>-12000</v>
      </c>
      <c r="P10" s="1"/>
      <c r="Q10" s="18" t="s">
        <v>34</v>
      </c>
      <c r="R10" s="19">
        <f t="shared" ref="R10:V10" si="17">D115</f>
        <v>2520</v>
      </c>
      <c r="S10" s="19">
        <f t="shared" si="17"/>
        <v>2520</v>
      </c>
      <c r="T10" s="19">
        <f t="shared" si="17"/>
        <v>2520</v>
      </c>
      <c r="U10" s="19">
        <f t="shared" si="17"/>
        <v>2520</v>
      </c>
      <c r="V10" s="19">
        <f t="shared" si="17"/>
        <v>2520</v>
      </c>
      <c r="W10" s="1"/>
      <c r="X10" s="1"/>
      <c r="Y10" s="1"/>
      <c r="Z10" s="1"/>
    </row>
    <row r="11" spans="1:26" x14ac:dyDescent="0.25">
      <c r="A11" s="1"/>
      <c r="B11" s="1"/>
      <c r="C11" s="20" t="s">
        <v>35</v>
      </c>
      <c r="D11" s="21">
        <f t="shared" ref="D11:H11" si="18">D136</f>
        <v>-50000</v>
      </c>
      <c r="E11" s="21">
        <f t="shared" si="18"/>
        <v>-50000</v>
      </c>
      <c r="F11" s="21">
        <f t="shared" si="18"/>
        <v>-50000</v>
      </c>
      <c r="G11" s="21">
        <f t="shared" si="18"/>
        <v>-50000</v>
      </c>
      <c r="H11" s="21">
        <f t="shared" si="18"/>
        <v>-50000</v>
      </c>
      <c r="I11" s="1"/>
      <c r="J11" s="20" t="s">
        <v>35</v>
      </c>
      <c r="K11" s="21">
        <f t="shared" ref="K11:O11" si="19">D137</f>
        <v>-50000</v>
      </c>
      <c r="L11" s="21">
        <f t="shared" si="19"/>
        <v>-50000</v>
      </c>
      <c r="M11" s="21">
        <f t="shared" si="19"/>
        <v>-50000</v>
      </c>
      <c r="N11" s="21">
        <f t="shared" si="19"/>
        <v>-50000</v>
      </c>
      <c r="O11" s="21">
        <f t="shared" si="19"/>
        <v>-50000</v>
      </c>
      <c r="P11" s="1"/>
      <c r="Q11" s="20" t="s">
        <v>35</v>
      </c>
      <c r="R11" s="21">
        <f t="shared" ref="R11:V11" si="20">D138</f>
        <v>0</v>
      </c>
      <c r="S11" s="21">
        <f t="shared" si="20"/>
        <v>0</v>
      </c>
      <c r="T11" s="21">
        <f t="shared" si="20"/>
        <v>0</v>
      </c>
      <c r="U11" s="21">
        <f t="shared" si="20"/>
        <v>0</v>
      </c>
      <c r="V11" s="21">
        <f t="shared" si="20"/>
        <v>0</v>
      </c>
      <c r="W11" s="1"/>
      <c r="X11" s="1"/>
      <c r="Y11" s="1"/>
      <c r="Z11" s="1"/>
    </row>
    <row r="12" spans="1:26" x14ac:dyDescent="0.25">
      <c r="A12" s="1"/>
      <c r="B12" s="1"/>
      <c r="C12" s="1" t="s">
        <v>36</v>
      </c>
      <c r="D12" s="13">
        <f t="shared" ref="D12:H12" si="21">D124</f>
        <v>-80000</v>
      </c>
      <c r="E12" s="13">
        <f t="shared" si="21"/>
        <v>-81600</v>
      </c>
      <c r="F12" s="13">
        <f t="shared" si="21"/>
        <v>-83232</v>
      </c>
      <c r="G12" s="13">
        <f t="shared" si="21"/>
        <v>-84896.639999999999</v>
      </c>
      <c r="H12" s="13">
        <f t="shared" si="21"/>
        <v>-86594.572799999994</v>
      </c>
      <c r="I12" s="1"/>
      <c r="J12" s="1" t="s">
        <v>36</v>
      </c>
      <c r="K12" s="13">
        <f t="shared" ref="K12:O12" si="22">D125</f>
        <v>-68271.649299317287</v>
      </c>
      <c r="L12" s="13">
        <f t="shared" si="22"/>
        <v>-69637.082285303637</v>
      </c>
      <c r="M12" s="13">
        <f t="shared" si="22"/>
        <v>-71029.823931009712</v>
      </c>
      <c r="N12" s="13">
        <f t="shared" si="22"/>
        <v>-72450.420409629907</v>
      </c>
      <c r="O12" s="13">
        <f t="shared" si="22"/>
        <v>-73899.428817822496</v>
      </c>
      <c r="P12" s="1"/>
      <c r="Q12" s="1" t="s">
        <v>36</v>
      </c>
      <c r="R12" s="13">
        <f t="shared" ref="R12:V12" si="23">D118+D122</f>
        <v>11728.350700682709</v>
      </c>
      <c r="S12" s="13">
        <f t="shared" si="23"/>
        <v>11962.917714696363</v>
      </c>
      <c r="T12" s="13">
        <f t="shared" si="23"/>
        <v>12202.176068990295</v>
      </c>
      <c r="U12" s="13">
        <f t="shared" si="23"/>
        <v>12446.219590370103</v>
      </c>
      <c r="V12" s="13">
        <f t="shared" si="23"/>
        <v>12695.143982177506</v>
      </c>
      <c r="W12" s="1"/>
      <c r="X12" s="1"/>
      <c r="Y12" s="1"/>
      <c r="Z12" s="1"/>
    </row>
    <row r="13" spans="1:26" x14ac:dyDescent="0.25">
      <c r="A13" s="1"/>
      <c r="B13" s="1"/>
      <c r="C13" s="1" t="s">
        <v>37</v>
      </c>
      <c r="D13" s="13">
        <f t="shared" ref="D13:H13" si="24">D134</f>
        <v>-50000</v>
      </c>
      <c r="E13" s="13">
        <f t="shared" si="24"/>
        <v>-51000</v>
      </c>
      <c r="F13" s="13">
        <f t="shared" si="24"/>
        <v>-52020</v>
      </c>
      <c r="G13" s="13">
        <f t="shared" si="24"/>
        <v>-53060.4</v>
      </c>
      <c r="H13" s="13">
        <f t="shared" si="24"/>
        <v>-54121.608</v>
      </c>
      <c r="I13" s="1"/>
      <c r="J13" s="1" t="s">
        <v>37</v>
      </c>
      <c r="K13" s="13">
        <f t="shared" ref="K13:O13" si="25">D135</f>
        <v>-43478.260869565216</v>
      </c>
      <c r="L13" s="13">
        <f t="shared" si="25"/>
        <v>-44347.826086956527</v>
      </c>
      <c r="M13" s="13">
        <f t="shared" si="25"/>
        <v>-45234.782608695656</v>
      </c>
      <c r="N13" s="13">
        <f t="shared" si="25"/>
        <v>-46139.478260869568</v>
      </c>
      <c r="O13" s="13">
        <f t="shared" si="25"/>
        <v>-47062.267826086958</v>
      </c>
      <c r="P13" s="1"/>
      <c r="Q13" s="1" t="s">
        <v>37</v>
      </c>
      <c r="R13" s="13">
        <f t="shared" ref="R13:V13" si="26">D128+D132</f>
        <v>6521.7391304347802</v>
      </c>
      <c r="S13" s="13">
        <f t="shared" si="26"/>
        <v>6652.1739130434726</v>
      </c>
      <c r="T13" s="13">
        <f t="shared" si="26"/>
        <v>6785.2173913043443</v>
      </c>
      <c r="U13" s="13">
        <f t="shared" si="26"/>
        <v>6920.9217391304337</v>
      </c>
      <c r="V13" s="13">
        <f t="shared" si="26"/>
        <v>7059.3401739130422</v>
      </c>
      <c r="W13" s="1"/>
      <c r="X13" s="1"/>
      <c r="Y13" s="1"/>
      <c r="Z13" s="1"/>
    </row>
    <row r="14" spans="1:26" x14ac:dyDescent="0.25">
      <c r="A14" s="1"/>
      <c r="B14" s="1"/>
      <c r="C14" s="1" t="s">
        <v>38</v>
      </c>
      <c r="D14" s="13">
        <f t="shared" ref="D14:H14" si="27">D139</f>
        <v>-57500</v>
      </c>
      <c r="E14" s="13">
        <f t="shared" si="27"/>
        <v>-42228</v>
      </c>
      <c r="F14" s="13">
        <f t="shared" si="27"/>
        <v>-43072.56</v>
      </c>
      <c r="G14" s="13">
        <f t="shared" si="27"/>
        <v>-43934.011200000008</v>
      </c>
      <c r="H14" s="13">
        <f t="shared" si="27"/>
        <v>-44812.691424000004</v>
      </c>
      <c r="I14" s="1"/>
      <c r="J14" s="1" t="s">
        <v>38</v>
      </c>
      <c r="K14" s="13">
        <f t="shared" ref="K14:O14" si="28">D140</f>
        <v>-50000</v>
      </c>
      <c r="L14" s="13">
        <f t="shared" si="28"/>
        <v>-36720</v>
      </c>
      <c r="M14" s="13">
        <f t="shared" si="28"/>
        <v>-37454.400000000001</v>
      </c>
      <c r="N14" s="13">
        <f t="shared" si="28"/>
        <v>-38203.488000000005</v>
      </c>
      <c r="O14" s="13">
        <f t="shared" si="28"/>
        <v>-38967.557760000003</v>
      </c>
      <c r="P14" s="1"/>
      <c r="Q14" s="1" t="s">
        <v>38</v>
      </c>
      <c r="R14" s="13">
        <f t="shared" ref="R14:V14" si="29">D141</f>
        <v>7500</v>
      </c>
      <c r="S14" s="13">
        <f t="shared" si="29"/>
        <v>5508</v>
      </c>
      <c r="T14" s="13">
        <f t="shared" si="29"/>
        <v>5618.16</v>
      </c>
      <c r="U14" s="13">
        <f t="shared" si="29"/>
        <v>5730.5232000000005</v>
      </c>
      <c r="V14" s="13">
        <f t="shared" si="29"/>
        <v>5845.133664</v>
      </c>
      <c r="W14" s="1"/>
      <c r="X14" s="1"/>
      <c r="Y14" s="1"/>
      <c r="Z14" s="1"/>
    </row>
    <row r="15" spans="1:26" x14ac:dyDescent="0.25">
      <c r="A15" s="1"/>
      <c r="B15" s="1"/>
      <c r="C15" s="1" t="s">
        <v>39</v>
      </c>
      <c r="D15" s="13">
        <f t="shared" ref="D15:H15" si="30">D145</f>
        <v>0</v>
      </c>
      <c r="E15" s="13">
        <f t="shared" si="30"/>
        <v>0</v>
      </c>
      <c r="F15" s="13">
        <f t="shared" si="30"/>
        <v>0</v>
      </c>
      <c r="G15" s="13">
        <f t="shared" si="30"/>
        <v>0</v>
      </c>
      <c r="H15" s="13">
        <f t="shared" si="30"/>
        <v>0</v>
      </c>
      <c r="I15" s="1"/>
      <c r="J15" s="1" t="s">
        <v>39</v>
      </c>
      <c r="K15" s="22">
        <f t="shared" ref="K15:O15" si="31">D146</f>
        <v>0</v>
      </c>
      <c r="L15" s="22">
        <f t="shared" si="31"/>
        <v>0</v>
      </c>
      <c r="M15" s="22">
        <f t="shared" si="31"/>
        <v>0</v>
      </c>
      <c r="N15" s="22">
        <f t="shared" si="31"/>
        <v>0</v>
      </c>
      <c r="O15" s="22">
        <f t="shared" si="31"/>
        <v>0</v>
      </c>
      <c r="P15" s="1"/>
      <c r="Q15" s="1" t="s">
        <v>39</v>
      </c>
      <c r="R15" s="22">
        <f t="shared" ref="R15:V15" si="32">D147</f>
        <v>0</v>
      </c>
      <c r="S15" s="22">
        <f t="shared" si="32"/>
        <v>0</v>
      </c>
      <c r="T15" s="22">
        <f t="shared" si="32"/>
        <v>0</v>
      </c>
      <c r="U15" s="22">
        <f t="shared" si="32"/>
        <v>0</v>
      </c>
      <c r="V15" s="22">
        <f t="shared" si="32"/>
        <v>0</v>
      </c>
      <c r="W15" s="1"/>
      <c r="X15" s="1"/>
      <c r="Y15" s="1"/>
      <c r="Z15" s="1"/>
    </row>
    <row r="16" spans="1:26" x14ac:dyDescent="0.25">
      <c r="A16" s="1"/>
      <c r="B16" s="1"/>
      <c r="C16" s="1" t="s">
        <v>40</v>
      </c>
      <c r="D16" s="13">
        <f t="shared" ref="D16:H16" si="33">D142</f>
        <v>0</v>
      </c>
      <c r="E16" s="13">
        <f t="shared" si="33"/>
        <v>0</v>
      </c>
      <c r="F16" s="13">
        <f t="shared" si="33"/>
        <v>0</v>
      </c>
      <c r="G16" s="13">
        <f t="shared" si="33"/>
        <v>0</v>
      </c>
      <c r="H16" s="13">
        <f t="shared" si="33"/>
        <v>0</v>
      </c>
      <c r="I16" s="1"/>
      <c r="J16" s="1" t="s">
        <v>40</v>
      </c>
      <c r="K16" s="22">
        <f t="shared" ref="K16:O16" si="34">D143</f>
        <v>0</v>
      </c>
      <c r="L16" s="22">
        <f t="shared" si="34"/>
        <v>0</v>
      </c>
      <c r="M16" s="22">
        <f t="shared" si="34"/>
        <v>0</v>
      </c>
      <c r="N16" s="22">
        <f t="shared" si="34"/>
        <v>0</v>
      </c>
      <c r="O16" s="22">
        <f t="shared" si="34"/>
        <v>0</v>
      </c>
      <c r="P16" s="1"/>
      <c r="Q16" s="1" t="s">
        <v>40</v>
      </c>
      <c r="R16" s="22">
        <f t="shared" ref="R16:V16" si="35">D144</f>
        <v>0</v>
      </c>
      <c r="S16" s="22">
        <f t="shared" si="35"/>
        <v>0</v>
      </c>
      <c r="T16" s="22">
        <f t="shared" si="35"/>
        <v>0</v>
      </c>
      <c r="U16" s="22">
        <f t="shared" si="35"/>
        <v>0</v>
      </c>
      <c r="V16" s="22">
        <f t="shared" si="35"/>
        <v>0</v>
      </c>
      <c r="W16" s="1"/>
      <c r="X16" s="1"/>
      <c r="Y16" s="1"/>
      <c r="Z16" s="1"/>
    </row>
    <row r="17" spans="1:26" x14ac:dyDescent="0.25">
      <c r="A17" s="1"/>
      <c r="B17" s="1"/>
      <c r="C17" s="1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1" t="s">
        <v>41</v>
      </c>
      <c r="D18" s="23">
        <f t="shared" ref="D18:H18" si="36">SUM(D5:D16)</f>
        <v>-66891.717353210901</v>
      </c>
      <c r="E18" s="23">
        <f t="shared" si="36"/>
        <v>-30770.54379949189</v>
      </c>
      <c r="F18" s="23">
        <f t="shared" si="36"/>
        <v>-24521.946774698503</v>
      </c>
      <c r="G18" s="23">
        <f t="shared" si="36"/>
        <v>-14398.377809409249</v>
      </c>
      <c r="H18" s="23">
        <f t="shared" si="36"/>
        <v>-4402.3374648142271</v>
      </c>
      <c r="I18" s="1"/>
      <c r="J18" s="11" t="s">
        <v>41</v>
      </c>
      <c r="K18" s="23">
        <f t="shared" ref="K18:O18" si="37">SUM(K5:K16)</f>
        <v>-73817.297916275784</v>
      </c>
      <c r="L18" s="23">
        <f t="shared" si="37"/>
        <v>-39338.296119653445</v>
      </c>
      <c r="M18" s="23">
        <f t="shared" si="37"/>
        <v>-32622.714287098657</v>
      </c>
      <c r="N18" s="23">
        <f t="shared" si="37"/>
        <v>-22022.820817892753</v>
      </c>
      <c r="O18" s="23">
        <f t="shared" si="37"/>
        <v>-11540.929479302744</v>
      </c>
      <c r="P18" s="1"/>
      <c r="Q18" s="11" t="s">
        <v>41</v>
      </c>
      <c r="R18" s="23">
        <f t="shared" ref="R18:V18" si="38">SUM(R5:R16)</f>
        <v>-6925.5805630648829</v>
      </c>
      <c r="S18" s="23">
        <f t="shared" si="38"/>
        <v>-8567.7523201615477</v>
      </c>
      <c r="T18" s="23">
        <f t="shared" si="38"/>
        <v>-8100.7675124001362</v>
      </c>
      <c r="U18" s="23">
        <f t="shared" si="38"/>
        <v>-7624.4430084834958</v>
      </c>
      <c r="V18" s="23">
        <f t="shared" si="38"/>
        <v>-7138.5920144885249</v>
      </c>
      <c r="W18" s="1"/>
      <c r="X18" s="1"/>
      <c r="Y18" s="1"/>
      <c r="Z18" s="1"/>
    </row>
    <row r="19" spans="1:26" x14ac:dyDescent="0.25">
      <c r="A19" s="1"/>
      <c r="B19" s="1"/>
      <c r="C19" s="24"/>
      <c r="D19" s="25"/>
      <c r="E19" s="25"/>
      <c r="F19" s="25"/>
      <c r="G19" s="25"/>
      <c r="H19" s="25"/>
      <c r="I19" s="1"/>
      <c r="J19" s="24"/>
      <c r="K19" s="25"/>
      <c r="L19" s="25"/>
      <c r="M19" s="25"/>
      <c r="N19" s="25"/>
      <c r="O19" s="25"/>
      <c r="P19" s="1"/>
      <c r="Q19" s="24"/>
      <c r="R19" s="25"/>
      <c r="S19" s="25"/>
      <c r="T19" s="25"/>
      <c r="U19" s="25"/>
      <c r="V19" s="25"/>
      <c r="W19" s="1"/>
      <c r="X19" s="1"/>
      <c r="Y19" s="1"/>
      <c r="Z19" s="1"/>
    </row>
    <row r="20" spans="1:26" x14ac:dyDescent="0.25">
      <c r="A20" s="1"/>
      <c r="B20" s="1"/>
      <c r="C20" s="1" t="s">
        <v>42</v>
      </c>
      <c r="D20" s="13">
        <f t="shared" ref="D20:H20" si="39">D148</f>
        <v>90000</v>
      </c>
      <c r="E20" s="13">
        <f t="shared" si="39"/>
        <v>0</v>
      </c>
      <c r="F20" s="13">
        <f t="shared" si="39"/>
        <v>0</v>
      </c>
      <c r="G20" s="13">
        <f t="shared" si="39"/>
        <v>0</v>
      </c>
      <c r="H20" s="13">
        <f t="shared" si="39"/>
        <v>0</v>
      </c>
      <c r="I20" s="1"/>
      <c r="J20" s="1" t="s">
        <v>42</v>
      </c>
      <c r="K20" s="13">
        <f t="shared" ref="K20:O20" si="40">D148</f>
        <v>90000</v>
      </c>
      <c r="L20" s="13">
        <f t="shared" si="40"/>
        <v>0</v>
      </c>
      <c r="M20" s="13">
        <f t="shared" si="40"/>
        <v>0</v>
      </c>
      <c r="N20" s="13">
        <f t="shared" si="40"/>
        <v>0</v>
      </c>
      <c r="O20" s="13">
        <f t="shared" si="40"/>
        <v>0</v>
      </c>
      <c r="P20" s="1"/>
      <c r="Q20" s="1"/>
      <c r="R20" s="22"/>
      <c r="S20" s="22"/>
      <c r="T20" s="22"/>
      <c r="U20" s="22"/>
      <c r="V20" s="22"/>
      <c r="W20" s="1"/>
      <c r="X20" s="1"/>
      <c r="Y20" s="1"/>
      <c r="Z20" s="1"/>
    </row>
    <row r="21" spans="1:26" ht="15.75" customHeight="1" x14ac:dyDescent="0.25">
      <c r="A21" s="1"/>
      <c r="B21" s="1"/>
      <c r="C21" s="24"/>
      <c r="D21" s="25"/>
      <c r="E21" s="25"/>
      <c r="F21" s="25"/>
      <c r="G21" s="25"/>
      <c r="H21" s="25"/>
      <c r="I21" s="1"/>
      <c r="J21" s="24"/>
      <c r="K21" s="25"/>
      <c r="L21" s="25"/>
      <c r="M21" s="25"/>
      <c r="N21" s="25"/>
      <c r="O21" s="25"/>
      <c r="P21" s="1"/>
      <c r="Q21" s="24"/>
      <c r="R21" s="25"/>
      <c r="S21" s="25"/>
      <c r="T21" s="25"/>
      <c r="U21" s="25"/>
      <c r="V21" s="25"/>
      <c r="W21" s="1"/>
      <c r="X21" s="1"/>
      <c r="Y21" s="1"/>
      <c r="Z21" s="1"/>
    </row>
    <row r="22" spans="1:26" ht="15.75" customHeight="1" x14ac:dyDescent="0.25">
      <c r="A22" s="1"/>
      <c r="B22" s="26">
        <v>0</v>
      </c>
      <c r="C22" s="1" t="s">
        <v>43</v>
      </c>
      <c r="D22" s="13">
        <f t="shared" ref="D22:H22" si="41">K22</f>
        <v>0</v>
      </c>
      <c r="E22" s="13">
        <f t="shared" si="41"/>
        <v>0</v>
      </c>
      <c r="F22" s="13">
        <f t="shared" si="41"/>
        <v>0</v>
      </c>
      <c r="G22" s="13">
        <f t="shared" si="41"/>
        <v>0</v>
      </c>
      <c r="H22" s="13">
        <f t="shared" si="41"/>
        <v>0</v>
      </c>
      <c r="I22" s="1"/>
      <c r="J22" s="1" t="s">
        <v>43</v>
      </c>
      <c r="K22" s="13">
        <f t="shared" ref="K22:O22" si="42">-MAX(0,K18)*$B$22</f>
        <v>0</v>
      </c>
      <c r="L22" s="13">
        <f t="shared" si="42"/>
        <v>0</v>
      </c>
      <c r="M22" s="13">
        <f t="shared" si="42"/>
        <v>0</v>
      </c>
      <c r="N22" s="13">
        <f t="shared" si="42"/>
        <v>0</v>
      </c>
      <c r="O22" s="13">
        <f t="shared" si="42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7"/>
      <c r="C23" s="1"/>
      <c r="D23" s="13"/>
      <c r="E23" s="13"/>
      <c r="F23" s="13"/>
      <c r="G23" s="13"/>
      <c r="H23" s="13"/>
      <c r="I23" s="1"/>
      <c r="J23" s="1"/>
      <c r="K23" s="13"/>
      <c r="L23" s="13"/>
      <c r="M23" s="13"/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7"/>
      <c r="C24" s="11" t="s">
        <v>44</v>
      </c>
      <c r="D24" s="23">
        <f>D18+D20+D22</f>
        <v>23108.282646789099</v>
      </c>
      <c r="E24" s="23">
        <f t="shared" ref="E24:H24" si="43">E18+E22</f>
        <v>-30770.54379949189</v>
      </c>
      <c r="F24" s="23">
        <f t="shared" si="43"/>
        <v>-24521.946774698503</v>
      </c>
      <c r="G24" s="23">
        <f t="shared" si="43"/>
        <v>-14398.377809409249</v>
      </c>
      <c r="H24" s="23">
        <f t="shared" si="43"/>
        <v>-4402.3374648142271</v>
      </c>
      <c r="I24" s="1"/>
      <c r="J24" s="11" t="s">
        <v>44</v>
      </c>
      <c r="K24" s="23">
        <f t="shared" ref="K24:O24" si="44">K18+K20+K22</f>
        <v>16182.702083724216</v>
      </c>
      <c r="L24" s="23">
        <f t="shared" si="44"/>
        <v>-39338.296119653445</v>
      </c>
      <c r="M24" s="23">
        <f t="shared" si="44"/>
        <v>-32622.714287098657</v>
      </c>
      <c r="N24" s="23">
        <f t="shared" si="44"/>
        <v>-22022.820817892753</v>
      </c>
      <c r="O24" s="23">
        <f t="shared" si="44"/>
        <v>-11540.929479302744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3"/>
      <c r="E25" s="13"/>
      <c r="F25" s="13"/>
      <c r="G25" s="13"/>
      <c r="H25" s="13"/>
      <c r="I25" s="1"/>
      <c r="J25" s="1"/>
      <c r="K25" s="2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8" t="s">
        <v>45</v>
      </c>
      <c r="D26" s="29"/>
      <c r="E26" s="29"/>
      <c r="F26" s="29"/>
      <c r="G26" s="29"/>
      <c r="H26" s="29"/>
      <c r="I26" s="1"/>
      <c r="J26" s="28" t="s">
        <v>45</v>
      </c>
      <c r="K26" s="29"/>
      <c r="L26" s="29"/>
      <c r="M26" s="29"/>
      <c r="N26" s="29"/>
      <c r="O26" s="2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3"/>
      <c r="E27" s="13"/>
      <c r="F27" s="13"/>
      <c r="G27" s="13"/>
      <c r="H27" s="13"/>
      <c r="I27" s="1"/>
      <c r="J27" s="1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 t="s">
        <v>46</v>
      </c>
      <c r="B28" s="6"/>
      <c r="C28" s="6"/>
      <c r="D28" s="30"/>
      <c r="E28" s="30"/>
      <c r="F28" s="30"/>
      <c r="G28" s="30"/>
      <c r="H28" s="30"/>
      <c r="I28" s="6"/>
      <c r="J28" s="6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1"/>
      <c r="B29" s="1"/>
      <c r="C29" s="1" t="s">
        <v>47</v>
      </c>
      <c r="D29" s="13">
        <f t="shared" ref="D29:H29" si="45">D53+D65+D69+D70+D116+D134+D139</f>
        <v>13250</v>
      </c>
      <c r="E29" s="13">
        <f t="shared" si="45"/>
        <v>6672</v>
      </c>
      <c r="F29" s="13">
        <f t="shared" si="45"/>
        <v>10695.440000000002</v>
      </c>
      <c r="G29" s="13">
        <f t="shared" si="45"/>
        <v>14669.348799999985</v>
      </c>
      <c r="H29" s="13">
        <f t="shared" si="45"/>
        <v>18592.735775999994</v>
      </c>
      <c r="I29" s="1"/>
      <c r="J29" s="1" t="s">
        <v>47</v>
      </c>
      <c r="K29" s="13">
        <f t="shared" ref="K29:O29" si="46">(D53+D65+D69+D70)/(1+$B$74)+D117+D135+D140</f>
        <v>32478.350700682713</v>
      </c>
      <c r="L29" s="13">
        <f t="shared" si="46"/>
        <v>24142.917714696363</v>
      </c>
      <c r="M29" s="13">
        <f t="shared" si="46"/>
        <v>28515.776068990286</v>
      </c>
      <c r="N29" s="13">
        <f t="shared" si="46"/>
        <v>32846.091590370088</v>
      </c>
      <c r="O29" s="13">
        <f t="shared" si="46"/>
        <v>37133.013422177501</v>
      </c>
      <c r="P29" s="13"/>
      <c r="Q29" s="1" t="s">
        <v>47</v>
      </c>
      <c r="R29" s="13">
        <f t="shared" ref="R29:V29" si="47">(D53+D65+D69+D70)*$B$74+D118+D128+D132+D141</f>
        <v>19228.350700682713</v>
      </c>
      <c r="S29" s="13">
        <f t="shared" si="47"/>
        <v>17470.917714696363</v>
      </c>
      <c r="T29" s="13">
        <f t="shared" si="47"/>
        <v>17820.336068990295</v>
      </c>
      <c r="U29" s="13">
        <f t="shared" si="47"/>
        <v>18176.742790370103</v>
      </c>
      <c r="V29" s="13">
        <f t="shared" si="47"/>
        <v>18540.277646177507</v>
      </c>
      <c r="W29" s="1"/>
      <c r="X29" s="1"/>
      <c r="Y29" s="1"/>
      <c r="Z29" s="1"/>
    </row>
    <row r="30" spans="1:26" ht="15.75" customHeight="1" x14ac:dyDescent="0.25">
      <c r="A30" s="1"/>
      <c r="B30" s="1"/>
      <c r="C30" s="1" t="s">
        <v>48</v>
      </c>
      <c r="D30" s="13">
        <f t="shared" ref="D30:H30" si="48">D57+D75+D76</f>
        <v>-47500</v>
      </c>
      <c r="E30" s="13">
        <f t="shared" si="48"/>
        <v>3980</v>
      </c>
      <c r="F30" s="13">
        <f t="shared" si="48"/>
        <v>1919.5999999999985</v>
      </c>
      <c r="G30" s="13">
        <f t="shared" si="48"/>
        <v>-182.00800000000891</v>
      </c>
      <c r="H30" s="13">
        <f t="shared" si="48"/>
        <v>-2325.6481600000116</v>
      </c>
      <c r="I30" s="1"/>
      <c r="J30" s="1" t="s">
        <v>48</v>
      </c>
      <c r="K30" s="13">
        <f t="shared" ref="K30:O30" si="49">D57/(1+$B$74)+(D75+D76)/(1+$B$81)</f>
        <v>-47500</v>
      </c>
      <c r="L30" s="13">
        <f t="shared" si="49"/>
        <v>3980</v>
      </c>
      <c r="M30" s="13">
        <f t="shared" si="49"/>
        <v>1919.6000000000058</v>
      </c>
      <c r="N30" s="13">
        <f t="shared" si="49"/>
        <v>-182.00800000000163</v>
      </c>
      <c r="O30" s="13">
        <f t="shared" si="49"/>
        <v>-2325.6481600000116</v>
      </c>
      <c r="P30" s="13"/>
      <c r="Q30" s="1" t="s">
        <v>48</v>
      </c>
      <c r="R30" s="13">
        <f t="shared" ref="R30:V30" si="50">-D57*$B$74-(D75+D76)*$B$81</f>
        <v>0</v>
      </c>
      <c r="S30" s="13">
        <f t="shared" si="50"/>
        <v>0</v>
      </c>
      <c r="T30" s="13">
        <f t="shared" si="50"/>
        <v>0</v>
      </c>
      <c r="U30" s="13">
        <f t="shared" si="50"/>
        <v>0</v>
      </c>
      <c r="V30" s="13">
        <f t="shared" si="50"/>
        <v>0</v>
      </c>
      <c r="W30" s="1"/>
      <c r="X30" s="1"/>
      <c r="Y30" s="1"/>
      <c r="Z30" s="1"/>
    </row>
    <row r="31" spans="1:26" ht="15.75" customHeight="1" x14ac:dyDescent="0.25">
      <c r="A31" s="1"/>
      <c r="B31" s="1"/>
      <c r="C31" s="1" t="s">
        <v>49</v>
      </c>
      <c r="D31" s="13">
        <f t="shared" ref="D31:H31" si="51">D61+D77</f>
        <v>-23700</v>
      </c>
      <c r="E31" s="13">
        <f t="shared" si="51"/>
        <v>-31496</v>
      </c>
      <c r="F31" s="13">
        <f t="shared" si="51"/>
        <v>-26205.919999999998</v>
      </c>
      <c r="G31" s="13">
        <f t="shared" si="51"/>
        <v>-16930.038399999998</v>
      </c>
      <c r="H31" s="13">
        <f t="shared" si="51"/>
        <v>-7668.6391680000015</v>
      </c>
      <c r="I31" s="1"/>
      <c r="J31" s="1" t="s">
        <v>49</v>
      </c>
      <c r="K31" s="13">
        <f t="shared" ref="K31:O31" si="52">D61/(1+$B$74)+D77/(1+$B$81)</f>
        <v>-23700</v>
      </c>
      <c r="L31" s="13">
        <f t="shared" si="52"/>
        <v>-31496</v>
      </c>
      <c r="M31" s="13">
        <f t="shared" si="52"/>
        <v>-26205.919999999998</v>
      </c>
      <c r="N31" s="13">
        <f t="shared" si="52"/>
        <v>-16930.038399999998</v>
      </c>
      <c r="O31" s="13">
        <f t="shared" si="52"/>
        <v>-7668.6391680000015</v>
      </c>
      <c r="P31" s="13"/>
      <c r="Q31" s="1" t="s">
        <v>49</v>
      </c>
      <c r="R31" s="13">
        <f t="shared" ref="R31:V31" si="53">-D61*$B$74-D77*$B$81</f>
        <v>0</v>
      </c>
      <c r="S31" s="13">
        <f t="shared" si="53"/>
        <v>0</v>
      </c>
      <c r="T31" s="13">
        <f t="shared" si="53"/>
        <v>0</v>
      </c>
      <c r="U31" s="13">
        <f t="shared" si="53"/>
        <v>0</v>
      </c>
      <c r="V31" s="13">
        <f t="shared" si="53"/>
        <v>0</v>
      </c>
      <c r="W31" s="1"/>
      <c r="X31" s="1"/>
      <c r="Y31" s="1"/>
      <c r="Z31" s="1"/>
    </row>
    <row r="32" spans="1:26" ht="15.75" customHeight="1" x14ac:dyDescent="0.25">
      <c r="A32" s="1"/>
      <c r="B32" s="1"/>
      <c r="C32" s="1" t="s">
        <v>50</v>
      </c>
      <c r="D32" s="13">
        <f t="shared" ref="D32:H32" si="54">D91+D101+D111+D113+D136</f>
        <v>41058.282646789099</v>
      </c>
      <c r="E32" s="13">
        <f t="shared" si="54"/>
        <v>41073.45620050811</v>
      </c>
      <c r="F32" s="13">
        <f t="shared" si="54"/>
        <v>41088.933225301487</v>
      </c>
      <c r="G32" s="13">
        <f t="shared" si="54"/>
        <v>41104.719790590752</v>
      </c>
      <c r="H32" s="13">
        <f t="shared" si="54"/>
        <v>41120.822087185792</v>
      </c>
      <c r="I32" s="1"/>
      <c r="J32" s="1" t="s">
        <v>50</v>
      </c>
      <c r="K32" s="13">
        <f t="shared" ref="K32:O32" si="55">D92+D102+D112+D114+D137</f>
        <v>8382.6122526067193</v>
      </c>
      <c r="L32" s="13">
        <f t="shared" si="55"/>
        <v>8382.6122526067193</v>
      </c>
      <c r="M32" s="13">
        <f t="shared" si="55"/>
        <v>8382.6122526067193</v>
      </c>
      <c r="N32" s="13">
        <f t="shared" si="55"/>
        <v>8382.6122526067193</v>
      </c>
      <c r="O32" s="13">
        <f t="shared" si="55"/>
        <v>8382.6122526067193</v>
      </c>
      <c r="P32" s="13"/>
      <c r="Q32" s="1" t="s">
        <v>50</v>
      </c>
      <c r="R32" s="13">
        <f t="shared" ref="R32:V32" si="56">D89+D85+D95+D99+D105+D109+D115+D138</f>
        <v>-32675.670394182373</v>
      </c>
      <c r="S32" s="13">
        <f t="shared" si="56"/>
        <v>-32690.843947901383</v>
      </c>
      <c r="T32" s="13">
        <f t="shared" si="56"/>
        <v>-32706.320972694768</v>
      </c>
      <c r="U32" s="13">
        <f t="shared" si="56"/>
        <v>-32722.107537984033</v>
      </c>
      <c r="V32" s="13">
        <f t="shared" si="56"/>
        <v>-32738.209834579073</v>
      </c>
      <c r="W32" s="1"/>
      <c r="X32" s="1"/>
      <c r="Y32" s="1"/>
      <c r="Z32" s="1"/>
    </row>
    <row r="33" spans="1:26" ht="15.75" customHeight="1" x14ac:dyDescent="0.25">
      <c r="A33" s="1"/>
      <c r="B33" s="1"/>
      <c r="C33" s="1" t="s">
        <v>51</v>
      </c>
      <c r="D33" s="13">
        <f t="shared" ref="D33:H33" si="57">D120</f>
        <v>-50000</v>
      </c>
      <c r="E33" s="13">
        <f t="shared" si="57"/>
        <v>-51000</v>
      </c>
      <c r="F33" s="13">
        <f t="shared" si="57"/>
        <v>-52020</v>
      </c>
      <c r="G33" s="13">
        <f t="shared" si="57"/>
        <v>-53060.4</v>
      </c>
      <c r="H33" s="13">
        <f t="shared" si="57"/>
        <v>-54121.608</v>
      </c>
      <c r="I33" s="1"/>
      <c r="J33" s="1" t="s">
        <v>51</v>
      </c>
      <c r="K33" s="13">
        <f t="shared" ref="K33:O33" si="58">D121</f>
        <v>-43478.260869565223</v>
      </c>
      <c r="L33" s="13">
        <f t="shared" si="58"/>
        <v>-44347.826086956527</v>
      </c>
      <c r="M33" s="13">
        <f t="shared" si="58"/>
        <v>-45234.782608695656</v>
      </c>
      <c r="N33" s="13">
        <f t="shared" si="58"/>
        <v>-46139.478260869568</v>
      </c>
      <c r="O33" s="13">
        <f t="shared" si="58"/>
        <v>-47062.267826086958</v>
      </c>
      <c r="P33" s="13"/>
      <c r="Q33" s="1" t="s">
        <v>51</v>
      </c>
      <c r="R33" s="13">
        <f t="shared" ref="R33:V33" si="59">D122</f>
        <v>6521.7391304347766</v>
      </c>
      <c r="S33" s="13">
        <f t="shared" si="59"/>
        <v>6652.1739130434726</v>
      </c>
      <c r="T33" s="13">
        <f t="shared" si="59"/>
        <v>6785.2173913043443</v>
      </c>
      <c r="U33" s="13">
        <f t="shared" si="59"/>
        <v>6920.9217391304337</v>
      </c>
      <c r="V33" s="13">
        <f t="shared" si="59"/>
        <v>7059.3401739130422</v>
      </c>
      <c r="W33" s="1"/>
      <c r="X33" s="1"/>
      <c r="Y33" s="1"/>
      <c r="Z33" s="1"/>
    </row>
    <row r="34" spans="1:26" ht="15.75" customHeight="1" x14ac:dyDescent="0.25">
      <c r="A34" s="1"/>
      <c r="B34" s="1"/>
      <c r="C34" s="1" t="s">
        <v>52</v>
      </c>
      <c r="D34" s="13">
        <f t="shared" ref="D34:H34" si="60">D22</f>
        <v>0</v>
      </c>
      <c r="E34" s="13">
        <f t="shared" si="60"/>
        <v>0</v>
      </c>
      <c r="F34" s="13">
        <f t="shared" si="60"/>
        <v>0</v>
      </c>
      <c r="G34" s="13">
        <f t="shared" si="60"/>
        <v>0</v>
      </c>
      <c r="H34" s="13">
        <f t="shared" si="60"/>
        <v>0</v>
      </c>
      <c r="I34" s="1"/>
      <c r="J34" s="1" t="s">
        <v>52</v>
      </c>
      <c r="K34" s="13">
        <f t="shared" ref="K34:O34" si="61">K22</f>
        <v>0</v>
      </c>
      <c r="L34" s="13">
        <f t="shared" si="61"/>
        <v>0</v>
      </c>
      <c r="M34" s="13">
        <f t="shared" si="61"/>
        <v>0</v>
      </c>
      <c r="N34" s="13">
        <f t="shared" si="61"/>
        <v>0</v>
      </c>
      <c r="O34" s="13">
        <f t="shared" si="61"/>
        <v>0</v>
      </c>
      <c r="P34" s="13"/>
      <c r="Q34" s="1"/>
      <c r="R34" s="13"/>
      <c r="S34" s="13"/>
      <c r="T34" s="13"/>
      <c r="U34" s="13"/>
      <c r="V34" s="13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1" t="s">
        <v>53</v>
      </c>
      <c r="D36" s="23">
        <f t="shared" ref="D36:H36" si="62">SUM(D29:D34)</f>
        <v>-66891.717353210901</v>
      </c>
      <c r="E36" s="23">
        <f t="shared" si="62"/>
        <v>-30770.54379949189</v>
      </c>
      <c r="F36" s="23">
        <f t="shared" si="62"/>
        <v>-24521.94677469851</v>
      </c>
      <c r="G36" s="23">
        <f t="shared" si="62"/>
        <v>-14398.37780940927</v>
      </c>
      <c r="H36" s="23">
        <f t="shared" si="62"/>
        <v>-4402.3374648142271</v>
      </c>
      <c r="I36" s="1"/>
      <c r="J36" s="11" t="s">
        <v>53</v>
      </c>
      <c r="K36" s="23">
        <f t="shared" ref="K36:O36" si="63">SUM(K29:K34)</f>
        <v>-73817.297916275798</v>
      </c>
      <c r="L36" s="23">
        <f t="shared" si="63"/>
        <v>-39338.296119653445</v>
      </c>
      <c r="M36" s="23">
        <f t="shared" si="63"/>
        <v>-32622.714287098643</v>
      </c>
      <c r="N36" s="23">
        <f t="shared" si="63"/>
        <v>-22022.82081789276</v>
      </c>
      <c r="O36" s="23">
        <f t="shared" si="63"/>
        <v>-11540.929479302751</v>
      </c>
      <c r="P36" s="1"/>
      <c r="Q36" s="11" t="s">
        <v>53</v>
      </c>
      <c r="R36" s="23">
        <f t="shared" ref="R36:V36" si="64">SUM(R29:R33)</f>
        <v>-6925.5805630648829</v>
      </c>
      <c r="S36" s="23">
        <f t="shared" si="64"/>
        <v>-8567.7523201615477</v>
      </c>
      <c r="T36" s="23">
        <f t="shared" si="64"/>
        <v>-8100.7675124001289</v>
      </c>
      <c r="U36" s="23">
        <f t="shared" si="64"/>
        <v>-7624.4430084834967</v>
      </c>
      <c r="V36" s="23">
        <f t="shared" si="64"/>
        <v>-7138.592014488524</v>
      </c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3"/>
      <c r="E37" s="13"/>
      <c r="F37" s="13"/>
      <c r="G37" s="13"/>
      <c r="H37" s="13"/>
      <c r="I37" s="1"/>
      <c r="J37" s="183" t="s">
        <v>241</v>
      </c>
      <c r="K37" s="184">
        <f>K36-R36-D36</f>
        <v>0</v>
      </c>
      <c r="L37" s="184">
        <f t="shared" ref="L37:O37" si="65">L36-S36-E36</f>
        <v>0</v>
      </c>
      <c r="M37" s="184">
        <f t="shared" si="65"/>
        <v>0</v>
      </c>
      <c r="N37" s="184">
        <f t="shared" si="65"/>
        <v>0</v>
      </c>
      <c r="O37" s="184">
        <f t="shared" si="65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4"/>
      <c r="D38" s="32"/>
      <c r="E38" s="32"/>
      <c r="F38" s="32"/>
      <c r="G38" s="32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 t="s">
        <v>54</v>
      </c>
      <c r="B39" s="4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3"/>
      <c r="B40" s="34"/>
      <c r="C40" s="14"/>
      <c r="D40" s="35">
        <v>2020</v>
      </c>
      <c r="E40" s="35">
        <v>2021</v>
      </c>
      <c r="F40" s="35">
        <v>2022</v>
      </c>
      <c r="G40" s="35">
        <v>2023</v>
      </c>
      <c r="H40" s="35">
        <v>2024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3"/>
      <c r="B41" s="36" t="s">
        <v>55</v>
      </c>
      <c r="C41" s="37"/>
      <c r="D41" s="38">
        <v>0.02</v>
      </c>
      <c r="E41" s="38">
        <v>0.02</v>
      </c>
      <c r="F41" s="38">
        <v>0.02</v>
      </c>
      <c r="G41" s="38">
        <v>0.02</v>
      </c>
      <c r="H41" s="38">
        <v>0.02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24" t="s">
        <v>56</v>
      </c>
      <c r="C42" s="1" t="s">
        <v>57</v>
      </c>
      <c r="D42" s="39">
        <v>316</v>
      </c>
      <c r="E42" s="39">
        <f t="shared" ref="E42:H42" si="66">D45</f>
        <v>319</v>
      </c>
      <c r="F42" s="39">
        <f t="shared" si="66"/>
        <v>332</v>
      </c>
      <c r="G42" s="39">
        <f t="shared" si="66"/>
        <v>345</v>
      </c>
      <c r="H42" s="39">
        <f t="shared" si="66"/>
        <v>358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4"/>
      <c r="C43" s="1" t="s">
        <v>58</v>
      </c>
      <c r="D43" s="22">
        <v>5</v>
      </c>
      <c r="E43" s="22">
        <v>18</v>
      </c>
      <c r="F43" s="22">
        <f t="shared" ref="F43:H44" si="67">E43</f>
        <v>18</v>
      </c>
      <c r="G43" s="22">
        <f t="shared" si="67"/>
        <v>18</v>
      </c>
      <c r="H43" s="22">
        <f t="shared" si="67"/>
        <v>18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24"/>
      <c r="C44" s="1" t="s">
        <v>59</v>
      </c>
      <c r="D44" s="22">
        <v>-2</v>
      </c>
      <c r="E44" s="22">
        <v>-5</v>
      </c>
      <c r="F44" s="22">
        <f t="shared" si="67"/>
        <v>-5</v>
      </c>
      <c r="G44" s="22">
        <f t="shared" si="67"/>
        <v>-5</v>
      </c>
      <c r="H44" s="22">
        <f t="shared" si="67"/>
        <v>-5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 t="s">
        <v>60</v>
      </c>
      <c r="D45" s="39">
        <f t="shared" ref="D45:H45" si="68">D42+D43+D44</f>
        <v>319</v>
      </c>
      <c r="E45" s="39">
        <f t="shared" si="68"/>
        <v>332</v>
      </c>
      <c r="F45" s="39">
        <f t="shared" si="68"/>
        <v>345</v>
      </c>
      <c r="G45" s="39">
        <f t="shared" si="68"/>
        <v>358</v>
      </c>
      <c r="H45" s="39">
        <f t="shared" si="68"/>
        <v>371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40" t="s">
        <v>61</v>
      </c>
      <c r="D46" s="1">
        <v>107</v>
      </c>
      <c r="E46" s="1">
        <f t="shared" ref="E46:H46" si="69">D46+D47</f>
        <v>107</v>
      </c>
      <c r="F46" s="1">
        <f t="shared" si="69"/>
        <v>107</v>
      </c>
      <c r="G46" s="1">
        <f t="shared" si="69"/>
        <v>107</v>
      </c>
      <c r="H46" s="1">
        <f t="shared" si="69"/>
        <v>107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40" t="s">
        <v>62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/>
      <c r="J47" s="41"/>
      <c r="K47" s="41"/>
      <c r="L47" s="41"/>
      <c r="M47" s="41"/>
      <c r="N47" s="4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40" t="s">
        <v>63</v>
      </c>
      <c r="D48" s="22">
        <v>0</v>
      </c>
      <c r="E48" s="22">
        <v>2</v>
      </c>
      <c r="F48" s="22">
        <v>5</v>
      </c>
      <c r="G48" s="22">
        <v>10</v>
      </c>
      <c r="H48" s="22">
        <v>15</v>
      </c>
      <c r="I48" s="1"/>
      <c r="J48" s="42" t="s">
        <v>64</v>
      </c>
      <c r="K48" s="41"/>
      <c r="L48" s="41"/>
      <c r="M48" s="41"/>
      <c r="N48" s="4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40" t="s">
        <v>65</v>
      </c>
      <c r="D49" s="1">
        <v>0</v>
      </c>
      <c r="E49" s="1">
        <v>2</v>
      </c>
      <c r="F49" s="22">
        <f t="shared" ref="F49:H49" si="70">F48-E48</f>
        <v>3</v>
      </c>
      <c r="G49" s="22">
        <f t="shared" si="70"/>
        <v>5</v>
      </c>
      <c r="H49" s="22">
        <f t="shared" si="70"/>
        <v>5</v>
      </c>
      <c r="I49" s="1"/>
      <c r="J49" s="43"/>
      <c r="K49" s="44" t="s">
        <v>66</v>
      </c>
      <c r="L49" s="44" t="s">
        <v>67</v>
      </c>
      <c r="M49" s="45" t="s">
        <v>68</v>
      </c>
      <c r="N49" s="4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4"/>
      <c r="C50" s="14" t="s">
        <v>69</v>
      </c>
      <c r="D50" s="14">
        <v>80</v>
      </c>
      <c r="E50" s="14">
        <f t="shared" ref="E50:H50" si="71">D50</f>
        <v>80</v>
      </c>
      <c r="F50" s="14">
        <f t="shared" si="71"/>
        <v>80</v>
      </c>
      <c r="G50" s="14">
        <f t="shared" si="71"/>
        <v>80</v>
      </c>
      <c r="H50" s="14">
        <f t="shared" si="71"/>
        <v>80</v>
      </c>
      <c r="I50" s="1"/>
      <c r="J50" s="46" t="s">
        <v>47</v>
      </c>
      <c r="K50" s="47">
        <f>E53+E65+E69</f>
        <v>130500</v>
      </c>
      <c r="L50" s="47">
        <f>-E116-E126-E130-E139</f>
        <v>123828</v>
      </c>
      <c r="M50" s="48">
        <f t="shared" ref="M50:M55" si="72">K50-L50</f>
        <v>6672</v>
      </c>
      <c r="N50" s="4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24" t="s">
        <v>29</v>
      </c>
      <c r="C51" s="1" t="s">
        <v>70</v>
      </c>
      <c r="D51" s="22">
        <f t="shared" ref="D51:H51" si="73">D45</f>
        <v>319</v>
      </c>
      <c r="E51" s="22">
        <f t="shared" si="73"/>
        <v>332</v>
      </c>
      <c r="F51" s="22">
        <f t="shared" si="73"/>
        <v>345</v>
      </c>
      <c r="G51" s="22">
        <f t="shared" si="73"/>
        <v>358</v>
      </c>
      <c r="H51" s="22">
        <f t="shared" si="73"/>
        <v>371</v>
      </c>
      <c r="I51" s="1"/>
      <c r="J51" s="49" t="s">
        <v>48</v>
      </c>
      <c r="K51" s="50">
        <f>E57</f>
        <v>107000</v>
      </c>
      <c r="L51" s="50">
        <f>-E75-E76</f>
        <v>103020</v>
      </c>
      <c r="M51" s="51">
        <f t="shared" si="72"/>
        <v>3980</v>
      </c>
      <c r="N51" s="4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 t="s">
        <v>71</v>
      </c>
      <c r="D52" s="52">
        <v>500</v>
      </c>
      <c r="E52" s="52">
        <f t="shared" ref="E52:H52" si="74">D52</f>
        <v>500</v>
      </c>
      <c r="F52" s="52">
        <f t="shared" si="74"/>
        <v>500</v>
      </c>
      <c r="G52" s="52">
        <f t="shared" si="74"/>
        <v>500</v>
      </c>
      <c r="H52" s="52">
        <f t="shared" si="74"/>
        <v>500</v>
      </c>
      <c r="I52" s="1"/>
      <c r="J52" s="46" t="s">
        <v>49</v>
      </c>
      <c r="K52" s="47">
        <f>E61</f>
        <v>4000</v>
      </c>
      <c r="L52" s="47">
        <f>-E77</f>
        <v>35496</v>
      </c>
      <c r="M52" s="48">
        <f t="shared" si="72"/>
        <v>-31496</v>
      </c>
      <c r="N52" s="4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53" t="s">
        <v>72</v>
      </c>
      <c r="C53" s="1" t="s">
        <v>73</v>
      </c>
      <c r="D53" s="22">
        <f t="shared" ref="D53:H53" si="75">D51*D52</f>
        <v>159500</v>
      </c>
      <c r="E53" s="22">
        <f t="shared" si="75"/>
        <v>166000</v>
      </c>
      <c r="F53" s="22">
        <f t="shared" si="75"/>
        <v>172500</v>
      </c>
      <c r="G53" s="22">
        <f t="shared" si="75"/>
        <v>179000</v>
      </c>
      <c r="H53" s="22">
        <f t="shared" si="75"/>
        <v>185500</v>
      </c>
      <c r="I53" s="1"/>
      <c r="J53" s="49" t="s">
        <v>50</v>
      </c>
      <c r="K53" s="50">
        <f>E83+E93</f>
        <v>582045.00970873784</v>
      </c>
      <c r="L53" s="50">
        <f>-E87-E97-E107-E113-E136</f>
        <v>540971.55350822979</v>
      </c>
      <c r="M53" s="51">
        <f t="shared" si="72"/>
        <v>41073.456200508052</v>
      </c>
      <c r="N53" s="4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2"/>
      <c r="E54" s="22"/>
      <c r="F54" s="22"/>
      <c r="G54" s="22"/>
      <c r="H54" s="22"/>
      <c r="I54" s="1"/>
      <c r="J54" s="46" t="s">
        <v>51</v>
      </c>
      <c r="K54" s="47"/>
      <c r="L54" s="47">
        <f>-E120</f>
        <v>51000</v>
      </c>
      <c r="M54" s="48">
        <f t="shared" si="72"/>
        <v>-51000</v>
      </c>
      <c r="N54" s="4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 t="s">
        <v>74</v>
      </c>
      <c r="D55" s="22">
        <f t="shared" ref="D55:H55" si="76">D46</f>
        <v>107</v>
      </c>
      <c r="E55" s="22">
        <f t="shared" si="76"/>
        <v>107</v>
      </c>
      <c r="F55" s="22">
        <f t="shared" si="76"/>
        <v>107</v>
      </c>
      <c r="G55" s="22">
        <f t="shared" si="76"/>
        <v>107</v>
      </c>
      <c r="H55" s="22">
        <f t="shared" si="76"/>
        <v>107</v>
      </c>
      <c r="I55" s="1"/>
      <c r="J55" s="49" t="s">
        <v>43</v>
      </c>
      <c r="K55" s="50"/>
      <c r="L55" s="50">
        <f>-E22</f>
        <v>0</v>
      </c>
      <c r="M55" s="51">
        <f t="shared" si="72"/>
        <v>0</v>
      </c>
      <c r="N55" s="4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 t="s">
        <v>75</v>
      </c>
      <c r="D56" s="52">
        <v>500</v>
      </c>
      <c r="E56" s="54">
        <v>1000</v>
      </c>
      <c r="F56" s="52">
        <f t="shared" ref="F56:H56" si="77">E56</f>
        <v>1000</v>
      </c>
      <c r="G56" s="52">
        <f t="shared" si="77"/>
        <v>1000</v>
      </c>
      <c r="H56" s="52">
        <f t="shared" si="77"/>
        <v>1000</v>
      </c>
      <c r="I56" s="1"/>
      <c r="J56" s="55" t="s">
        <v>76</v>
      </c>
      <c r="K56" s="56">
        <f>MAX(K57-L57,0)</f>
        <v>0</v>
      </c>
      <c r="L56" s="56">
        <f>MAX(L57-K57,0)</f>
        <v>30770.543799491948</v>
      </c>
      <c r="M56" s="57"/>
      <c r="N56" s="4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 t="s">
        <v>77</v>
      </c>
      <c r="D57" s="22">
        <f t="shared" ref="D57:H57" si="78">D55*D56</f>
        <v>53500</v>
      </c>
      <c r="E57" s="22">
        <f t="shared" si="78"/>
        <v>107000</v>
      </c>
      <c r="F57" s="22">
        <f t="shared" si="78"/>
        <v>107000</v>
      </c>
      <c r="G57" s="22">
        <f t="shared" si="78"/>
        <v>107000</v>
      </c>
      <c r="H57" s="22">
        <f t="shared" si="78"/>
        <v>107000</v>
      </c>
      <c r="I57" s="1"/>
      <c r="J57" s="41" t="s">
        <v>68</v>
      </c>
      <c r="K57" s="58">
        <f t="shared" ref="K57:L57" si="79">SUM(K50:K55)</f>
        <v>823545.00970873784</v>
      </c>
      <c r="L57" s="58">
        <f t="shared" si="79"/>
        <v>854315.55350822979</v>
      </c>
      <c r="M57" s="58"/>
      <c r="N57" s="4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2"/>
      <c r="E58" s="22"/>
      <c r="F58" s="22"/>
      <c r="G58" s="22"/>
      <c r="H58" s="22"/>
      <c r="I58" s="1"/>
      <c r="J58" s="1"/>
      <c r="K58" s="1"/>
      <c r="L58" s="1"/>
      <c r="M58" s="1"/>
      <c r="N58" s="4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 t="s">
        <v>78</v>
      </c>
      <c r="D59" s="22">
        <f t="shared" ref="D59:E59" si="80">D48</f>
        <v>0</v>
      </c>
      <c r="E59" s="22">
        <f t="shared" si="80"/>
        <v>2</v>
      </c>
      <c r="F59" s="22">
        <v>5</v>
      </c>
      <c r="G59" s="22">
        <v>10</v>
      </c>
      <c r="H59" s="22">
        <v>15</v>
      </c>
      <c r="I59" s="1"/>
      <c r="J59" s="1"/>
      <c r="K59" s="22"/>
      <c r="L59" s="22"/>
      <c r="M59" s="2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 t="s">
        <v>79</v>
      </c>
      <c r="D60" s="52">
        <v>0</v>
      </c>
      <c r="E60" s="52">
        <v>2000</v>
      </c>
      <c r="F60" s="52">
        <f t="shared" ref="F60:H60" si="81">E60</f>
        <v>2000</v>
      </c>
      <c r="G60" s="52">
        <f t="shared" si="81"/>
        <v>2000</v>
      </c>
      <c r="H60" s="52">
        <f t="shared" si="81"/>
        <v>2000</v>
      </c>
      <c r="I60" s="1"/>
      <c r="J60" s="1"/>
      <c r="K60" s="22"/>
      <c r="L60" s="22"/>
      <c r="M60" s="2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 t="s">
        <v>77</v>
      </c>
      <c r="D61" s="22">
        <f t="shared" ref="D61:H61" si="82">D59*D60</f>
        <v>0</v>
      </c>
      <c r="E61" s="22">
        <f t="shared" si="82"/>
        <v>4000</v>
      </c>
      <c r="F61" s="22">
        <f t="shared" si="82"/>
        <v>10000</v>
      </c>
      <c r="G61" s="22">
        <f t="shared" si="82"/>
        <v>20000</v>
      </c>
      <c r="H61" s="22">
        <f t="shared" si="82"/>
        <v>30000</v>
      </c>
      <c r="I61" s="1"/>
      <c r="J61" s="24" t="s">
        <v>80</v>
      </c>
      <c r="K61" s="22"/>
      <c r="L61" s="22"/>
      <c r="M61" s="2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2"/>
      <c r="E62" s="22"/>
      <c r="F62" s="22"/>
      <c r="G62" s="22"/>
      <c r="H62" s="22"/>
      <c r="I62" s="1"/>
      <c r="J62" s="1"/>
      <c r="K62" s="32">
        <v>2021</v>
      </c>
      <c r="L62" s="32">
        <v>2022</v>
      </c>
      <c r="M62" s="32">
        <v>2023</v>
      </c>
      <c r="N62" s="24">
        <v>2024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 t="s">
        <v>58</v>
      </c>
      <c r="D63" s="22">
        <f t="shared" ref="D63:H63" si="83">D43</f>
        <v>5</v>
      </c>
      <c r="E63" s="22">
        <f t="shared" si="83"/>
        <v>18</v>
      </c>
      <c r="F63" s="22">
        <f t="shared" si="83"/>
        <v>18</v>
      </c>
      <c r="G63" s="22">
        <f t="shared" si="83"/>
        <v>18</v>
      </c>
      <c r="H63" s="22">
        <f t="shared" si="83"/>
        <v>18</v>
      </c>
      <c r="I63" s="22"/>
      <c r="J63" s="1" t="s">
        <v>81</v>
      </c>
      <c r="K63" s="22">
        <f t="shared" ref="K63:N63" si="84">E57+E61</f>
        <v>111000</v>
      </c>
      <c r="L63" s="22">
        <f t="shared" si="84"/>
        <v>117000</v>
      </c>
      <c r="M63" s="22">
        <f t="shared" si="84"/>
        <v>127000</v>
      </c>
      <c r="N63" s="22">
        <f t="shared" si="84"/>
        <v>137000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 t="s">
        <v>82</v>
      </c>
      <c r="D64" s="52">
        <v>250</v>
      </c>
      <c r="E64" s="52">
        <f t="shared" ref="E64:H64" si="85">D64</f>
        <v>250</v>
      </c>
      <c r="F64" s="52">
        <f t="shared" si="85"/>
        <v>250</v>
      </c>
      <c r="G64" s="52">
        <f t="shared" si="85"/>
        <v>250</v>
      </c>
      <c r="H64" s="52">
        <f t="shared" si="85"/>
        <v>250</v>
      </c>
      <c r="I64" s="1"/>
      <c r="J64" s="1" t="s">
        <v>83</v>
      </c>
      <c r="K64" s="22">
        <f t="shared" ref="K64:N64" si="86">-E79</f>
        <v>138516</v>
      </c>
      <c r="L64" s="22">
        <f t="shared" si="86"/>
        <v>141286.32</v>
      </c>
      <c r="M64" s="22">
        <f t="shared" si="86"/>
        <v>144112.04639999999</v>
      </c>
      <c r="N64" s="22">
        <f t="shared" si="86"/>
        <v>146994.28732800001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 t="s">
        <v>77</v>
      </c>
      <c r="D65" s="22">
        <f t="shared" ref="D65:H65" si="87">D63*D64</f>
        <v>1250</v>
      </c>
      <c r="E65" s="22">
        <f t="shared" si="87"/>
        <v>4500</v>
      </c>
      <c r="F65" s="22">
        <f t="shared" si="87"/>
        <v>4500</v>
      </c>
      <c r="G65" s="22">
        <f t="shared" si="87"/>
        <v>4500</v>
      </c>
      <c r="H65" s="22">
        <f t="shared" si="87"/>
        <v>4500</v>
      </c>
      <c r="I65" s="1"/>
      <c r="J65" s="1"/>
      <c r="K65" s="22"/>
      <c r="L65" s="22"/>
      <c r="M65" s="2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2"/>
      <c r="E66" s="22"/>
      <c r="F66" s="22"/>
      <c r="G66" s="22"/>
      <c r="H66" s="22"/>
      <c r="I66" s="1"/>
      <c r="J66" s="1"/>
      <c r="K66" s="22"/>
      <c r="L66" s="22"/>
      <c r="M66" s="2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 t="s">
        <v>69</v>
      </c>
      <c r="D67" s="22">
        <f t="shared" ref="D67:H67" si="88">D50</f>
        <v>80</v>
      </c>
      <c r="E67" s="22">
        <f t="shared" si="88"/>
        <v>80</v>
      </c>
      <c r="F67" s="22">
        <f t="shared" si="88"/>
        <v>80</v>
      </c>
      <c r="G67" s="22">
        <f t="shared" si="88"/>
        <v>80</v>
      </c>
      <c r="H67" s="22">
        <f t="shared" si="88"/>
        <v>80</v>
      </c>
      <c r="I67" s="1"/>
      <c r="J67" s="1"/>
      <c r="K67" s="22"/>
      <c r="L67" s="22"/>
      <c r="M67" s="2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 t="s">
        <v>84</v>
      </c>
      <c r="D68" s="22">
        <f t="shared" ref="D68:H68" si="89">D52</f>
        <v>500</v>
      </c>
      <c r="E68" s="22">
        <f t="shared" si="89"/>
        <v>500</v>
      </c>
      <c r="F68" s="22">
        <f t="shared" si="89"/>
        <v>500</v>
      </c>
      <c r="G68" s="22">
        <f t="shared" si="89"/>
        <v>500</v>
      </c>
      <c r="H68" s="22">
        <f t="shared" si="89"/>
        <v>500</v>
      </c>
      <c r="I68" s="1"/>
      <c r="J68" s="1"/>
      <c r="K68" s="22"/>
      <c r="L68" s="22"/>
      <c r="M68" s="2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 t="s">
        <v>85</v>
      </c>
      <c r="D69" s="22">
        <f t="shared" ref="D69:H69" si="90">-D67*D68</f>
        <v>-40000</v>
      </c>
      <c r="E69" s="22">
        <f t="shared" si="90"/>
        <v>-40000</v>
      </c>
      <c r="F69" s="22">
        <f t="shared" si="90"/>
        <v>-40000</v>
      </c>
      <c r="G69" s="22">
        <f t="shared" si="90"/>
        <v>-40000</v>
      </c>
      <c r="H69" s="22">
        <f t="shared" si="90"/>
        <v>-40000</v>
      </c>
      <c r="I69" s="1"/>
      <c r="J69" s="1"/>
      <c r="K69" s="22"/>
      <c r="L69" s="22"/>
      <c r="M69" s="2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 t="s">
        <v>86</v>
      </c>
      <c r="D70" s="22">
        <v>30000</v>
      </c>
      <c r="E70" s="22">
        <v>0</v>
      </c>
      <c r="F70" s="22">
        <f t="shared" ref="F70:H70" si="91">E70</f>
        <v>0</v>
      </c>
      <c r="G70" s="22">
        <f t="shared" si="91"/>
        <v>0</v>
      </c>
      <c r="H70" s="22">
        <f t="shared" si="91"/>
        <v>0</v>
      </c>
      <c r="I70" s="1"/>
      <c r="J70" s="1"/>
      <c r="K70" s="22"/>
      <c r="L70" s="22"/>
      <c r="M70" s="2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2"/>
      <c r="E71" s="22"/>
      <c r="F71" s="22"/>
      <c r="G71" s="22"/>
      <c r="H71" s="22"/>
      <c r="I71" s="1"/>
      <c r="J71" s="1"/>
      <c r="K71" s="22"/>
      <c r="L71" s="22"/>
      <c r="M71" s="2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4" t="s">
        <v>87</v>
      </c>
      <c r="D72" s="32">
        <f t="shared" ref="D72:H72" si="92">D53+D65+D57+D61+D69+D70</f>
        <v>204250</v>
      </c>
      <c r="E72" s="32">
        <f t="shared" si="92"/>
        <v>241500</v>
      </c>
      <c r="F72" s="32">
        <f t="shared" si="92"/>
        <v>254000</v>
      </c>
      <c r="G72" s="32">
        <f t="shared" si="92"/>
        <v>270500</v>
      </c>
      <c r="H72" s="32">
        <f t="shared" si="92"/>
        <v>287000</v>
      </c>
      <c r="I72" s="1"/>
      <c r="J72" s="1"/>
      <c r="K72" s="22"/>
      <c r="L72" s="22"/>
      <c r="M72" s="2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4" t="s">
        <v>88</v>
      </c>
      <c r="D73" s="32">
        <f t="shared" ref="D73:H73" si="93">D72/(1+$B$74)</f>
        <v>204250</v>
      </c>
      <c r="E73" s="32">
        <f t="shared" si="93"/>
        <v>241500</v>
      </c>
      <c r="F73" s="32">
        <f t="shared" si="93"/>
        <v>254000</v>
      </c>
      <c r="G73" s="32">
        <f t="shared" si="93"/>
        <v>270500</v>
      </c>
      <c r="H73" s="32">
        <f t="shared" si="93"/>
        <v>287000</v>
      </c>
      <c r="I73" s="1"/>
      <c r="J73" s="1"/>
      <c r="K73" s="22"/>
      <c r="L73" s="22"/>
      <c r="M73" s="2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59">
        <v>0</v>
      </c>
      <c r="C74" s="14" t="s">
        <v>27</v>
      </c>
      <c r="D74" s="60">
        <f t="shared" ref="D74:H74" si="94">D73-D72</f>
        <v>0</v>
      </c>
      <c r="E74" s="60">
        <f t="shared" si="94"/>
        <v>0</v>
      </c>
      <c r="F74" s="60">
        <f t="shared" si="94"/>
        <v>0</v>
      </c>
      <c r="G74" s="60">
        <f t="shared" si="94"/>
        <v>0</v>
      </c>
      <c r="H74" s="60">
        <f t="shared" si="94"/>
        <v>0</v>
      </c>
      <c r="I74" s="1"/>
      <c r="J74" s="1"/>
      <c r="K74" s="22"/>
      <c r="L74" s="22"/>
      <c r="M74" s="2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4" t="s">
        <v>89</v>
      </c>
      <c r="C75" s="1" t="s">
        <v>90</v>
      </c>
      <c r="D75" s="22">
        <v>-62000</v>
      </c>
      <c r="E75" s="22">
        <f t="shared" ref="E75:H77" si="95">D75*(1+D$41)</f>
        <v>-63240</v>
      </c>
      <c r="F75" s="22">
        <f t="shared" si="95"/>
        <v>-64504.800000000003</v>
      </c>
      <c r="G75" s="22">
        <f t="shared" si="95"/>
        <v>-65794.896000000008</v>
      </c>
      <c r="H75" s="22">
        <f t="shared" si="95"/>
        <v>-67110.793920000011</v>
      </c>
      <c r="I75" s="1"/>
      <c r="J75" s="1"/>
      <c r="K75" s="22"/>
      <c r="L75" s="22"/>
      <c r="M75" s="2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 t="s">
        <v>91</v>
      </c>
      <c r="D76" s="22">
        <v>-39000</v>
      </c>
      <c r="E76" s="22">
        <f t="shared" si="95"/>
        <v>-39780</v>
      </c>
      <c r="F76" s="22">
        <f t="shared" si="95"/>
        <v>-40575.599999999999</v>
      </c>
      <c r="G76" s="22">
        <f t="shared" si="95"/>
        <v>-41387.112000000001</v>
      </c>
      <c r="H76" s="22">
        <f t="shared" si="95"/>
        <v>-42214.854240000001</v>
      </c>
      <c r="I76" s="1"/>
      <c r="J76" s="1"/>
      <c r="K76" s="22"/>
      <c r="L76" s="22"/>
      <c r="M76" s="2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 t="s">
        <v>49</v>
      </c>
      <c r="D77" s="54">
        <f>-CERA!$B$12*CERA!$B$18*CERA!$B$9-CERA!$B$15*CERA!$B$18</f>
        <v>-23700</v>
      </c>
      <c r="E77" s="22">
        <f>-CERA!$B$12*CERA!$B$18*(1+E$41)</f>
        <v>-35496</v>
      </c>
      <c r="F77" s="22">
        <f t="shared" si="95"/>
        <v>-36205.919999999998</v>
      </c>
      <c r="G77" s="22">
        <f t="shared" si="95"/>
        <v>-36930.038399999998</v>
      </c>
      <c r="H77" s="22">
        <f t="shared" si="95"/>
        <v>-37668.639168000002</v>
      </c>
      <c r="I77" s="1"/>
      <c r="J77" s="1"/>
      <c r="K77" s="22"/>
      <c r="L77" s="22"/>
      <c r="M77" s="2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2"/>
      <c r="E78" s="22"/>
      <c r="F78" s="22"/>
      <c r="G78" s="22"/>
      <c r="H78" s="22"/>
      <c r="I78" s="1"/>
      <c r="J78" s="42" t="s">
        <v>92</v>
      </c>
      <c r="K78" s="58"/>
      <c r="L78" s="58"/>
      <c r="M78" s="58"/>
      <c r="N78" s="4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4" t="s">
        <v>87</v>
      </c>
      <c r="D79" s="32">
        <f t="shared" ref="D79:H79" si="96">SUM(D75:D77)</f>
        <v>-124700</v>
      </c>
      <c r="E79" s="32">
        <f t="shared" si="96"/>
        <v>-138516</v>
      </c>
      <c r="F79" s="32">
        <f t="shared" si="96"/>
        <v>-141286.32</v>
      </c>
      <c r="G79" s="32">
        <f t="shared" si="96"/>
        <v>-144112.04639999999</v>
      </c>
      <c r="H79" s="32">
        <f t="shared" si="96"/>
        <v>-146994.28732800001</v>
      </c>
      <c r="I79" s="1"/>
      <c r="J79" s="61"/>
      <c r="K79" s="62" t="s">
        <v>66</v>
      </c>
      <c r="L79" s="62" t="s">
        <v>67</v>
      </c>
      <c r="M79" s="63" t="s">
        <v>68</v>
      </c>
      <c r="N79" s="4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4" t="s">
        <v>88</v>
      </c>
      <c r="D80" s="32">
        <f t="shared" ref="D80:H80" si="97">D79/(1+$B$81)</f>
        <v>-124700</v>
      </c>
      <c r="E80" s="32">
        <f t="shared" si="97"/>
        <v>-138516</v>
      </c>
      <c r="F80" s="32">
        <f t="shared" si="97"/>
        <v>-141286.32</v>
      </c>
      <c r="G80" s="32">
        <f t="shared" si="97"/>
        <v>-144112.04639999999</v>
      </c>
      <c r="H80" s="32">
        <f t="shared" si="97"/>
        <v>-146994.28732800001</v>
      </c>
      <c r="I80" s="1"/>
      <c r="J80" s="64" t="s">
        <v>47</v>
      </c>
      <c r="K80" s="65">
        <f>(E53+E65+E69)/1000</f>
        <v>130.5</v>
      </c>
      <c r="L80" s="65">
        <f>(-E116-E126-E130-E139)/1000</f>
        <v>123.828</v>
      </c>
      <c r="M80" s="66">
        <f t="shared" ref="M80:M85" si="98">K80-L80</f>
        <v>6.671999999999997</v>
      </c>
      <c r="N80" s="4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59">
        <v>0</v>
      </c>
      <c r="C81" s="14" t="s">
        <v>27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1"/>
      <c r="J81" s="67" t="s">
        <v>48</v>
      </c>
      <c r="K81" s="68">
        <f>(E57)/1000</f>
        <v>107</v>
      </c>
      <c r="L81" s="68">
        <f>(-E75-E76)/1000</f>
        <v>103.02</v>
      </c>
      <c r="M81" s="69">
        <f t="shared" si="98"/>
        <v>3.980000000000004</v>
      </c>
      <c r="N81" s="4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4" t="s">
        <v>31</v>
      </c>
      <c r="C82" s="1" t="s">
        <v>93</v>
      </c>
      <c r="D82" s="22">
        <f>'JAS_Shrnuti 2020'!E5</f>
        <v>6717.4757281553393</v>
      </c>
      <c r="E82" s="22">
        <f>D82*(1+E$41*0)</f>
        <v>6717.4757281553393</v>
      </c>
      <c r="F82" s="22">
        <f t="shared" ref="F82:H82" si="99">E82*(1+F$41*0)</f>
        <v>6717.4757281553393</v>
      </c>
      <c r="G82" s="22">
        <f t="shared" si="99"/>
        <v>6717.4757281553393</v>
      </c>
      <c r="H82" s="22">
        <f t="shared" si="99"/>
        <v>6717.4757281553393</v>
      </c>
      <c r="I82" s="1"/>
      <c r="J82" s="64" t="s">
        <v>49</v>
      </c>
      <c r="K82" s="65">
        <f>(E61)/1000</f>
        <v>4</v>
      </c>
      <c r="L82" s="65">
        <f>(-E77)/1000</f>
        <v>35.496000000000002</v>
      </c>
      <c r="M82" s="66">
        <f t="shared" si="98"/>
        <v>-31.496000000000002</v>
      </c>
      <c r="N82" s="4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 t="s">
        <v>94</v>
      </c>
      <c r="D83" s="22">
        <f>'JAS_Shrnuti 2020'!E8</f>
        <v>550833.00970873784</v>
      </c>
      <c r="E83" s="22">
        <f>D83*(1+E$41*0)</f>
        <v>550833.00970873784</v>
      </c>
      <c r="F83" s="22">
        <f t="shared" ref="F83:H83" si="100">E83*(1+F$41*0)</f>
        <v>550833.00970873784</v>
      </c>
      <c r="G83" s="22">
        <f t="shared" si="100"/>
        <v>550833.00970873784</v>
      </c>
      <c r="H83" s="22">
        <f t="shared" si="100"/>
        <v>550833.00970873784</v>
      </c>
      <c r="I83" s="1"/>
      <c r="J83" s="67" t="s">
        <v>50</v>
      </c>
      <c r="K83" s="68">
        <f>(E91+E101)/1000</f>
        <v>120.59345620050811</v>
      </c>
      <c r="L83" s="68">
        <f>(-E107-E113-E136)/1000</f>
        <v>79.52</v>
      </c>
      <c r="M83" s="69">
        <f t="shared" si="98"/>
        <v>41.073456200508119</v>
      </c>
      <c r="N83" s="4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 t="s">
        <v>95</v>
      </c>
      <c r="D84" s="22">
        <f t="shared" ref="D84:H84" si="101">D83/(1+$B$85)</f>
        <v>455233.89232127095</v>
      </c>
      <c r="E84" s="22">
        <f>E83/(1+$B$85)</f>
        <v>455233.89232127095</v>
      </c>
      <c r="F84" s="22">
        <f t="shared" si="101"/>
        <v>455233.89232127095</v>
      </c>
      <c r="G84" s="22">
        <f t="shared" si="101"/>
        <v>455233.89232127095</v>
      </c>
      <c r="H84" s="22">
        <f t="shared" si="101"/>
        <v>455233.89232127095</v>
      </c>
      <c r="I84" s="1"/>
      <c r="J84" s="64" t="s">
        <v>51</v>
      </c>
      <c r="K84" s="65">
        <v>0</v>
      </c>
      <c r="L84" s="65">
        <f>(-E120)/1000</f>
        <v>51</v>
      </c>
      <c r="M84" s="66">
        <f t="shared" si="98"/>
        <v>-51</v>
      </c>
      <c r="N84" s="4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6">
        <v>0.21</v>
      </c>
      <c r="C85" s="1" t="s">
        <v>27</v>
      </c>
      <c r="D85" s="22">
        <f t="shared" ref="D85:H85" si="102">-(D83-D84)</f>
        <v>-95599.117387466889</v>
      </c>
      <c r="E85" s="22">
        <f t="shared" si="102"/>
        <v>-95599.117387466889</v>
      </c>
      <c r="F85" s="22">
        <f t="shared" si="102"/>
        <v>-95599.117387466889</v>
      </c>
      <c r="G85" s="22">
        <f t="shared" si="102"/>
        <v>-95599.117387466889</v>
      </c>
      <c r="H85" s="22">
        <f t="shared" si="102"/>
        <v>-95599.117387466889</v>
      </c>
      <c r="I85" s="1"/>
      <c r="J85" s="67" t="s">
        <v>43</v>
      </c>
      <c r="K85" s="68">
        <v>0</v>
      </c>
      <c r="L85" s="68">
        <f>(-E22)/1000</f>
        <v>0</v>
      </c>
      <c r="M85" s="69">
        <f t="shared" si="98"/>
        <v>0</v>
      </c>
      <c r="N85" s="4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7"/>
      <c r="C86" s="1"/>
      <c r="D86" s="22"/>
      <c r="E86" s="22"/>
      <c r="F86" s="22"/>
      <c r="G86" s="22"/>
      <c r="H86" s="22"/>
      <c r="I86" s="1"/>
      <c r="J86" s="70" t="s">
        <v>76</v>
      </c>
      <c r="K86" s="71">
        <f>MAX(K87-L87,0)</f>
        <v>0</v>
      </c>
      <c r="L86" s="71">
        <f>MAX(L87-K87,0)</f>
        <v>30.770543799491861</v>
      </c>
      <c r="M86" s="72"/>
      <c r="N86" s="4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 t="s">
        <v>265</v>
      </c>
      <c r="D87" s="22">
        <f>-'JAS_Shrnuti 2020'!E9</f>
        <v>-431013.40474789916</v>
      </c>
      <c r="E87" s="22">
        <f t="shared" ref="E87:H87" si="103">E88-E89</f>
        <v>-431013.40474789916</v>
      </c>
      <c r="F87" s="22">
        <f t="shared" si="103"/>
        <v>-431013.40474789916</v>
      </c>
      <c r="G87" s="22">
        <f t="shared" si="103"/>
        <v>-431013.40474789916</v>
      </c>
      <c r="H87" s="22">
        <f t="shared" si="103"/>
        <v>-431013.40474789916</v>
      </c>
      <c r="I87" s="1"/>
      <c r="J87" s="41" t="s">
        <v>68</v>
      </c>
      <c r="K87" s="58">
        <f t="shared" ref="K87:L87" si="104">SUM(K80:K85)</f>
        <v>362.09345620050811</v>
      </c>
      <c r="L87" s="58">
        <f t="shared" si="104"/>
        <v>392.86399999999998</v>
      </c>
      <c r="M87" s="58"/>
      <c r="N87" s="4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 t="s">
        <v>266</v>
      </c>
      <c r="D88" s="22">
        <f>-'JAS_Shrnuti 2020'!E13</f>
        <v>-369851.28006866423</v>
      </c>
      <c r="E88" s="22">
        <f>D88*(1+E$4180)</f>
        <v>-369851.28006866423</v>
      </c>
      <c r="F88" s="22">
        <f t="shared" ref="F88:H88" si="105">E88*(1+F$4180)</f>
        <v>-369851.28006866423</v>
      </c>
      <c r="G88" s="22">
        <f t="shared" si="105"/>
        <v>-369851.28006866423</v>
      </c>
      <c r="H88" s="22">
        <f t="shared" si="105"/>
        <v>-369851.28006866423</v>
      </c>
      <c r="I88" s="1"/>
      <c r="J88" s="1"/>
      <c r="K88" s="1"/>
      <c r="L88" s="1"/>
      <c r="M88" s="1"/>
      <c r="N88" s="4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73">
        <f>($D$89/-$D$88)</f>
        <v>0.1653695092467436</v>
      </c>
      <c r="C89" s="1" t="s">
        <v>27</v>
      </c>
      <c r="D89" s="22">
        <f>-(D87-D88)</f>
        <v>61162.124679234927</v>
      </c>
      <c r="E89" s="22">
        <f t="shared" ref="E89:H89" si="106">-E88*$B$89</f>
        <v>61162.124679234927</v>
      </c>
      <c r="F89" s="22">
        <f t="shared" si="106"/>
        <v>61162.124679234927</v>
      </c>
      <c r="G89" s="22">
        <f t="shared" si="106"/>
        <v>61162.124679234927</v>
      </c>
      <c r="H89" s="22">
        <f t="shared" si="106"/>
        <v>61162.124679234927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2"/>
      <c r="E90" s="74"/>
      <c r="F90" s="22"/>
      <c r="G90" s="22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75"/>
      <c r="C91" s="24" t="s">
        <v>87</v>
      </c>
      <c r="D91" s="32">
        <f t="shared" ref="D91:H92" si="107">D83+D87</f>
        <v>119819.60496083868</v>
      </c>
      <c r="E91" s="32">
        <f t="shared" si="107"/>
        <v>119819.60496083868</v>
      </c>
      <c r="F91" s="32">
        <f t="shared" si="107"/>
        <v>119819.60496083868</v>
      </c>
      <c r="G91" s="32">
        <f t="shared" si="107"/>
        <v>119819.60496083868</v>
      </c>
      <c r="H91" s="32">
        <f t="shared" si="107"/>
        <v>119819.60496083868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76"/>
      <c r="C92" s="35" t="s">
        <v>88</v>
      </c>
      <c r="D92" s="77">
        <f t="shared" si="107"/>
        <v>85382.612252606719</v>
      </c>
      <c r="E92" s="77">
        <f t="shared" si="107"/>
        <v>85382.612252606719</v>
      </c>
      <c r="F92" s="77">
        <f t="shared" si="107"/>
        <v>85382.612252606719</v>
      </c>
      <c r="G92" s="77">
        <f t="shared" si="107"/>
        <v>85382.612252606719</v>
      </c>
      <c r="H92" s="77">
        <f t="shared" si="107"/>
        <v>85382.612252606719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4" t="s">
        <v>32</v>
      </c>
      <c r="C93" s="1" t="s">
        <v>94</v>
      </c>
      <c r="D93" s="22">
        <f>30000*(1+D$41)</f>
        <v>30600</v>
      </c>
      <c r="E93" s="22">
        <f t="shared" ref="E93:H93" si="108">D93*(1+E$41)</f>
        <v>31212</v>
      </c>
      <c r="F93" s="22">
        <f t="shared" si="108"/>
        <v>31836.240000000002</v>
      </c>
      <c r="G93" s="22">
        <f t="shared" si="108"/>
        <v>32472.964800000002</v>
      </c>
      <c r="H93" s="22">
        <f t="shared" si="108"/>
        <v>33122.424096000002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 t="s">
        <v>95</v>
      </c>
      <c r="D94" s="22">
        <f t="shared" ref="D94:H94" si="109">D93/(1+$B$95)</f>
        <v>25289.25619834711</v>
      </c>
      <c r="E94" s="22">
        <f t="shared" si="109"/>
        <v>25795.041322314049</v>
      </c>
      <c r="F94" s="22">
        <f t="shared" si="109"/>
        <v>26310.942148760332</v>
      </c>
      <c r="G94" s="22">
        <f t="shared" si="109"/>
        <v>26837.160991735538</v>
      </c>
      <c r="H94" s="22">
        <f t="shared" si="109"/>
        <v>27373.90421157025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6">
        <v>0.21</v>
      </c>
      <c r="C95" s="1" t="s">
        <v>27</v>
      </c>
      <c r="D95" s="22">
        <f t="shared" ref="D95:H95" si="110">-(D93-D94)</f>
        <v>-5310.7438016528904</v>
      </c>
      <c r="E95" s="22">
        <f t="shared" si="110"/>
        <v>-5416.9586776859505</v>
      </c>
      <c r="F95" s="22">
        <f t="shared" si="110"/>
        <v>-5525.2978512396694</v>
      </c>
      <c r="G95" s="22">
        <f t="shared" si="110"/>
        <v>-5635.8038082644634</v>
      </c>
      <c r="H95" s="22">
        <f t="shared" si="110"/>
        <v>-5748.519884429752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2"/>
      <c r="E96" s="22"/>
      <c r="F96" s="22"/>
      <c r="G96" s="22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 t="s">
        <v>265</v>
      </c>
      <c r="D97" s="22">
        <f t="shared" ref="D97:H97" si="111">D98-D99</f>
        <v>-29841.32231404959</v>
      </c>
      <c r="E97" s="22">
        <f t="shared" si="111"/>
        <v>-30438.14876033058</v>
      </c>
      <c r="F97" s="22">
        <f t="shared" si="111"/>
        <v>-31046.911735537193</v>
      </c>
      <c r="G97" s="22">
        <f t="shared" si="111"/>
        <v>-31667.849970247935</v>
      </c>
      <c r="H97" s="22">
        <f t="shared" si="111"/>
        <v>-32301.206969652896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 t="s">
        <v>266</v>
      </c>
      <c r="D98" s="22">
        <f t="shared" ref="D98:H98" si="112">-D94</f>
        <v>-25289.25619834711</v>
      </c>
      <c r="E98" s="22">
        <f t="shared" si="112"/>
        <v>-25795.041322314049</v>
      </c>
      <c r="F98" s="22">
        <f t="shared" si="112"/>
        <v>-26310.942148760332</v>
      </c>
      <c r="G98" s="22">
        <f t="shared" si="112"/>
        <v>-26837.160991735538</v>
      </c>
      <c r="H98" s="22">
        <f t="shared" si="112"/>
        <v>-27373.90421157025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6">
        <v>0.18</v>
      </c>
      <c r="C99" s="1" t="s">
        <v>27</v>
      </c>
      <c r="D99" s="22">
        <f t="shared" ref="D99:H99" si="113">-D98*$B$99</f>
        <v>4552.0661157024797</v>
      </c>
      <c r="E99" s="22">
        <f t="shared" si="113"/>
        <v>4643.1074380165292</v>
      </c>
      <c r="F99" s="22">
        <f t="shared" si="113"/>
        <v>4735.9695867768596</v>
      </c>
      <c r="G99" s="22">
        <f t="shared" si="113"/>
        <v>4830.6889785123967</v>
      </c>
      <c r="H99" s="22">
        <f t="shared" si="113"/>
        <v>4927.3027580826447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2"/>
      <c r="E100" s="22"/>
      <c r="F100" s="22"/>
      <c r="G100" s="22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4" t="s">
        <v>87</v>
      </c>
      <c r="D101" s="32">
        <f t="shared" ref="D101:H102" si="114">D93+D97</f>
        <v>758.6776859504098</v>
      </c>
      <c r="E101" s="32">
        <f t="shared" si="114"/>
        <v>773.85123966942047</v>
      </c>
      <c r="F101" s="32">
        <f t="shared" si="114"/>
        <v>789.32826446280887</v>
      </c>
      <c r="G101" s="32">
        <f t="shared" si="114"/>
        <v>805.11482975206673</v>
      </c>
      <c r="H101" s="32">
        <f t="shared" si="114"/>
        <v>821.21712634710639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4"/>
      <c r="C102" s="35" t="s">
        <v>88</v>
      </c>
      <c r="D102" s="77">
        <f t="shared" si="114"/>
        <v>0</v>
      </c>
      <c r="E102" s="77">
        <f t="shared" si="114"/>
        <v>0</v>
      </c>
      <c r="F102" s="77">
        <f t="shared" si="114"/>
        <v>0</v>
      </c>
      <c r="G102" s="77">
        <f t="shared" si="114"/>
        <v>0</v>
      </c>
      <c r="H102" s="77">
        <f t="shared" si="114"/>
        <v>0</v>
      </c>
      <c r="I102" s="53" t="s">
        <v>96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4" t="s">
        <v>97</v>
      </c>
      <c r="C103" s="1" t="s">
        <v>94</v>
      </c>
      <c r="D103" s="22">
        <f>0*(1+D$41)</f>
        <v>0</v>
      </c>
      <c r="E103" s="22">
        <f t="shared" ref="E103:H103" si="115">D103*(1+E$41)</f>
        <v>0</v>
      </c>
      <c r="F103" s="22">
        <f t="shared" si="115"/>
        <v>0</v>
      </c>
      <c r="G103" s="22">
        <f t="shared" si="115"/>
        <v>0</v>
      </c>
      <c r="H103" s="22">
        <f t="shared" si="115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 t="s">
        <v>95</v>
      </c>
      <c r="D104" s="22">
        <f t="shared" ref="D104:H104" si="116">D103/1.21</f>
        <v>0</v>
      </c>
      <c r="E104" s="22">
        <f t="shared" si="116"/>
        <v>0</v>
      </c>
      <c r="F104" s="22">
        <f t="shared" si="116"/>
        <v>0</v>
      </c>
      <c r="G104" s="22">
        <f t="shared" si="116"/>
        <v>0</v>
      </c>
      <c r="H104" s="22">
        <f t="shared" si="116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6">
        <v>0.21</v>
      </c>
      <c r="C105" s="1" t="s">
        <v>27</v>
      </c>
      <c r="D105" s="22">
        <f t="shared" ref="D105:H105" si="117">-(D103-D104)</f>
        <v>0</v>
      </c>
      <c r="E105" s="22">
        <f t="shared" si="117"/>
        <v>0</v>
      </c>
      <c r="F105" s="22">
        <f t="shared" si="117"/>
        <v>0</v>
      </c>
      <c r="G105" s="22">
        <f t="shared" si="117"/>
        <v>0</v>
      </c>
      <c r="H105" s="22">
        <f t="shared" si="117"/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2"/>
      <c r="E106" s="22"/>
      <c r="F106" s="22"/>
      <c r="G106" s="22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8" t="s">
        <v>265</v>
      </c>
      <c r="D107" s="78">
        <v>-15000</v>
      </c>
      <c r="E107" s="78">
        <f>D107*(1+E$41*0)</f>
        <v>-15000</v>
      </c>
      <c r="F107" s="78">
        <f t="shared" ref="F107:H107" si="118">E107*(1+F$41*0)</f>
        <v>-15000</v>
      </c>
      <c r="G107" s="78">
        <f t="shared" si="118"/>
        <v>-15000</v>
      </c>
      <c r="H107" s="78">
        <f t="shared" si="118"/>
        <v>-15000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8" t="s">
        <v>266</v>
      </c>
      <c r="D108" s="78">
        <f t="shared" ref="D108:H108" si="119">D107</f>
        <v>-15000</v>
      </c>
      <c r="E108" s="78">
        <f t="shared" si="119"/>
        <v>-15000</v>
      </c>
      <c r="F108" s="78">
        <f t="shared" si="119"/>
        <v>-15000</v>
      </c>
      <c r="G108" s="78">
        <f t="shared" si="119"/>
        <v>-15000</v>
      </c>
      <c r="H108" s="78">
        <f t="shared" si="119"/>
        <v>-15000</v>
      </c>
      <c r="I108" s="53" t="s">
        <v>98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6">
        <v>0</v>
      </c>
      <c r="C109" s="1" t="s">
        <v>27</v>
      </c>
      <c r="D109" s="22">
        <f t="shared" ref="D109:H109" si="120">-D108*$B$109</f>
        <v>0</v>
      </c>
      <c r="E109" s="22">
        <f t="shared" si="120"/>
        <v>0</v>
      </c>
      <c r="F109" s="22">
        <f t="shared" si="120"/>
        <v>0</v>
      </c>
      <c r="G109" s="22">
        <f t="shared" si="120"/>
        <v>0</v>
      </c>
      <c r="H109" s="22">
        <f t="shared" si="120"/>
        <v>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2"/>
      <c r="E110" s="22"/>
      <c r="F110" s="22"/>
      <c r="G110" s="22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4" t="s">
        <v>87</v>
      </c>
      <c r="D111" s="32">
        <f t="shared" ref="D111:H112" si="121">D103+D107</f>
        <v>-15000</v>
      </c>
      <c r="E111" s="32">
        <f t="shared" si="121"/>
        <v>-15000</v>
      </c>
      <c r="F111" s="32">
        <f t="shared" si="121"/>
        <v>-15000</v>
      </c>
      <c r="G111" s="32">
        <f t="shared" si="121"/>
        <v>-15000</v>
      </c>
      <c r="H111" s="32">
        <f t="shared" si="121"/>
        <v>-15000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4"/>
      <c r="C112" s="35" t="s">
        <v>88</v>
      </c>
      <c r="D112" s="77">
        <f t="shared" si="121"/>
        <v>-15000</v>
      </c>
      <c r="E112" s="77">
        <f t="shared" si="121"/>
        <v>-15000</v>
      </c>
      <c r="F112" s="77">
        <f t="shared" si="121"/>
        <v>-15000</v>
      </c>
      <c r="G112" s="77">
        <f t="shared" si="121"/>
        <v>-15000</v>
      </c>
      <c r="H112" s="77">
        <f t="shared" si="121"/>
        <v>-15000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4" t="s">
        <v>34</v>
      </c>
      <c r="C113" s="18" t="s">
        <v>265</v>
      </c>
      <c r="D113" s="78">
        <f t="shared" ref="D113:H113" si="122">D114-D115</f>
        <v>-14520</v>
      </c>
      <c r="E113" s="78">
        <f t="shared" si="122"/>
        <v>-14520</v>
      </c>
      <c r="F113" s="78">
        <f t="shared" si="122"/>
        <v>-14520</v>
      </c>
      <c r="G113" s="78">
        <f t="shared" si="122"/>
        <v>-14520</v>
      </c>
      <c r="H113" s="78">
        <f t="shared" si="122"/>
        <v>-14520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4"/>
      <c r="C114" s="18" t="s">
        <v>266</v>
      </c>
      <c r="D114" s="78">
        <f>(-500*(29+37)-3000)/3</f>
        <v>-12000</v>
      </c>
      <c r="E114" s="78">
        <f>D114*(1+E$41*0)</f>
        <v>-12000</v>
      </c>
      <c r="F114" s="78">
        <f t="shared" ref="F114:H114" si="123">E114*(1+F$41*0)</f>
        <v>-12000</v>
      </c>
      <c r="G114" s="78">
        <f t="shared" si="123"/>
        <v>-12000</v>
      </c>
      <c r="H114" s="78">
        <f t="shared" si="123"/>
        <v>-12000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59">
        <v>0.21</v>
      </c>
      <c r="C115" s="14" t="s">
        <v>27</v>
      </c>
      <c r="D115" s="60">
        <f t="shared" ref="D115:H115" si="124">-D114*$B$115</f>
        <v>2520</v>
      </c>
      <c r="E115" s="60">
        <f t="shared" si="124"/>
        <v>2520</v>
      </c>
      <c r="F115" s="60">
        <f t="shared" si="124"/>
        <v>2520</v>
      </c>
      <c r="G115" s="60">
        <f t="shared" si="124"/>
        <v>2520</v>
      </c>
      <c r="H115" s="60">
        <f t="shared" si="124"/>
        <v>2520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4" t="s">
        <v>36</v>
      </c>
      <c r="C116" s="1" t="s">
        <v>267</v>
      </c>
      <c r="D116" s="22">
        <v>-30000</v>
      </c>
      <c r="E116" s="22">
        <f t="shared" ref="E116:H116" si="125">D116*(1+E$41)</f>
        <v>-30600</v>
      </c>
      <c r="F116" s="22">
        <f t="shared" si="125"/>
        <v>-31212</v>
      </c>
      <c r="G116" s="22">
        <f t="shared" si="125"/>
        <v>-31836.240000000002</v>
      </c>
      <c r="H116" s="22">
        <f t="shared" si="125"/>
        <v>-32472.964800000002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4"/>
      <c r="C117" s="1" t="s">
        <v>268</v>
      </c>
      <c r="D117" s="22">
        <f t="shared" ref="D117:H117" si="126">D116/(1+$B$118)</f>
        <v>-24793.388429752067</v>
      </c>
      <c r="E117" s="22">
        <f t="shared" si="126"/>
        <v>-25289.25619834711</v>
      </c>
      <c r="F117" s="22">
        <f t="shared" si="126"/>
        <v>-25795.041322314049</v>
      </c>
      <c r="G117" s="22">
        <f t="shared" si="126"/>
        <v>-26310.942148760332</v>
      </c>
      <c r="H117" s="22">
        <f t="shared" si="126"/>
        <v>-26837.160991735538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6">
        <v>0.21</v>
      </c>
      <c r="C118" s="1" t="s">
        <v>27</v>
      </c>
      <c r="D118" s="22">
        <f t="shared" ref="D118:H118" si="127">D117-D116</f>
        <v>5206.6115702479328</v>
      </c>
      <c r="E118" s="22">
        <f t="shared" si="127"/>
        <v>5310.7438016528904</v>
      </c>
      <c r="F118" s="22">
        <f t="shared" si="127"/>
        <v>5416.9586776859505</v>
      </c>
      <c r="G118" s="22">
        <f t="shared" si="127"/>
        <v>5525.2978512396694</v>
      </c>
      <c r="H118" s="22">
        <f t="shared" si="127"/>
        <v>5635.8038082644634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4"/>
      <c r="C119" s="1"/>
      <c r="D119" s="22"/>
      <c r="E119" s="22"/>
      <c r="F119" s="22"/>
      <c r="G119" s="22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 t="s">
        <v>269</v>
      </c>
      <c r="D120" s="22">
        <v>-50000</v>
      </c>
      <c r="E120" s="22">
        <f t="shared" ref="E120:H120" si="128">D120*(1+E$41)</f>
        <v>-51000</v>
      </c>
      <c r="F120" s="22">
        <f t="shared" si="128"/>
        <v>-52020</v>
      </c>
      <c r="G120" s="22">
        <f t="shared" si="128"/>
        <v>-53060.4</v>
      </c>
      <c r="H120" s="22">
        <f t="shared" si="128"/>
        <v>-54121.608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 t="s">
        <v>270</v>
      </c>
      <c r="D121" s="22">
        <f t="shared" ref="D121:H121" si="129">D120/(1+$B$122)</f>
        <v>-43478.260869565223</v>
      </c>
      <c r="E121" s="22">
        <f t="shared" si="129"/>
        <v>-44347.826086956527</v>
      </c>
      <c r="F121" s="22">
        <f t="shared" si="129"/>
        <v>-45234.782608695656</v>
      </c>
      <c r="G121" s="22">
        <f t="shared" si="129"/>
        <v>-46139.478260869568</v>
      </c>
      <c r="H121" s="22">
        <f t="shared" si="129"/>
        <v>-47062.267826086958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6">
        <v>0.15</v>
      </c>
      <c r="C122" s="1" t="s">
        <v>27</v>
      </c>
      <c r="D122" s="22">
        <f t="shared" ref="D122:H122" si="130">D121-D120</f>
        <v>6521.7391304347766</v>
      </c>
      <c r="E122" s="22">
        <f t="shared" si="130"/>
        <v>6652.1739130434726</v>
      </c>
      <c r="F122" s="22">
        <f t="shared" si="130"/>
        <v>6785.2173913043443</v>
      </c>
      <c r="G122" s="22">
        <f t="shared" si="130"/>
        <v>6920.9217391304337</v>
      </c>
      <c r="H122" s="22">
        <f t="shared" si="130"/>
        <v>7059.3401739130422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2"/>
      <c r="E123" s="22"/>
      <c r="F123" s="22"/>
      <c r="G123" s="22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4" t="s">
        <v>87</v>
      </c>
      <c r="D124" s="32">
        <f t="shared" ref="D124:H125" si="131">D116+D120</f>
        <v>-80000</v>
      </c>
      <c r="E124" s="32">
        <f t="shared" si="131"/>
        <v>-81600</v>
      </c>
      <c r="F124" s="32">
        <f t="shared" si="131"/>
        <v>-83232</v>
      </c>
      <c r="G124" s="32">
        <f t="shared" si="131"/>
        <v>-84896.639999999999</v>
      </c>
      <c r="H124" s="32">
        <f t="shared" si="131"/>
        <v>-86594.572799999994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4"/>
      <c r="C125" s="35" t="s">
        <v>88</v>
      </c>
      <c r="D125" s="77">
        <f t="shared" si="131"/>
        <v>-68271.649299317287</v>
      </c>
      <c r="E125" s="77">
        <f t="shared" si="131"/>
        <v>-69637.082285303637</v>
      </c>
      <c r="F125" s="77">
        <f t="shared" si="131"/>
        <v>-71029.823931009712</v>
      </c>
      <c r="G125" s="77">
        <f t="shared" si="131"/>
        <v>-72450.420409629907</v>
      </c>
      <c r="H125" s="77">
        <f t="shared" si="131"/>
        <v>-73899.428817822496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4" t="s">
        <v>99</v>
      </c>
      <c r="C126" s="1" t="s">
        <v>271</v>
      </c>
      <c r="D126" s="22">
        <v>-30000</v>
      </c>
      <c r="E126" s="22">
        <f t="shared" ref="E126:H126" si="132">D126*(1+E$41)</f>
        <v>-30600</v>
      </c>
      <c r="F126" s="22">
        <f t="shared" si="132"/>
        <v>-31212</v>
      </c>
      <c r="G126" s="22">
        <f t="shared" si="132"/>
        <v>-31836.240000000002</v>
      </c>
      <c r="H126" s="22">
        <f t="shared" si="132"/>
        <v>-32472.964800000002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4"/>
      <c r="C127" s="1" t="s">
        <v>272</v>
      </c>
      <c r="D127" s="22">
        <f t="shared" ref="D127:H127" si="133">D126/(1+$B$128)</f>
        <v>-26086.956521739132</v>
      </c>
      <c r="E127" s="22">
        <f t="shared" si="133"/>
        <v>-26608.695652173916</v>
      </c>
      <c r="F127" s="22">
        <f t="shared" si="133"/>
        <v>-27140.869565217392</v>
      </c>
      <c r="G127" s="22">
        <f t="shared" si="133"/>
        <v>-27683.686956521742</v>
      </c>
      <c r="H127" s="22">
        <f t="shared" si="133"/>
        <v>-28237.360695652176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6">
        <v>0.15</v>
      </c>
      <c r="C128" s="1" t="s">
        <v>27</v>
      </c>
      <c r="D128" s="22">
        <f t="shared" ref="D128:H128" si="134">D127-D126</f>
        <v>3913.0434782608681</v>
      </c>
      <c r="E128" s="22">
        <f t="shared" si="134"/>
        <v>3991.3043478260843</v>
      </c>
      <c r="F128" s="22">
        <f t="shared" si="134"/>
        <v>4071.1304347826081</v>
      </c>
      <c r="G128" s="22">
        <f t="shared" si="134"/>
        <v>4152.5530434782595</v>
      </c>
      <c r="H128" s="22">
        <f t="shared" si="134"/>
        <v>4235.6041043478253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4"/>
      <c r="C129" s="1"/>
      <c r="D129" s="22"/>
      <c r="E129" s="22"/>
      <c r="F129" s="22"/>
      <c r="G129" s="22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 t="s">
        <v>273</v>
      </c>
      <c r="D130" s="22">
        <v>-20000</v>
      </c>
      <c r="E130" s="22">
        <f t="shared" ref="E130:H130" si="135">D130*(1+E$41)</f>
        <v>-20400</v>
      </c>
      <c r="F130" s="22">
        <f t="shared" si="135"/>
        <v>-20808</v>
      </c>
      <c r="G130" s="22">
        <f t="shared" si="135"/>
        <v>-21224.16</v>
      </c>
      <c r="H130" s="22">
        <f t="shared" si="135"/>
        <v>-21648.643199999999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4"/>
      <c r="C131" s="1" t="s">
        <v>274</v>
      </c>
      <c r="D131" s="22">
        <f t="shared" ref="D131:H131" si="136">D130/(1+$B$132)</f>
        <v>-17391.304347826088</v>
      </c>
      <c r="E131" s="22">
        <f t="shared" si="136"/>
        <v>-17739.130434782612</v>
      </c>
      <c r="F131" s="22">
        <f t="shared" si="136"/>
        <v>-18093.913043478264</v>
      </c>
      <c r="G131" s="22">
        <f t="shared" si="136"/>
        <v>-18455.791304347826</v>
      </c>
      <c r="H131" s="22">
        <f t="shared" si="136"/>
        <v>-18824.907130434782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6">
        <v>0.15</v>
      </c>
      <c r="C132" s="1" t="s">
        <v>27</v>
      </c>
      <c r="D132" s="22">
        <f t="shared" ref="D132:H132" si="137">D131-D130</f>
        <v>2608.6956521739121</v>
      </c>
      <c r="E132" s="22">
        <f t="shared" si="137"/>
        <v>2660.8695652173883</v>
      </c>
      <c r="F132" s="22">
        <f t="shared" si="137"/>
        <v>2714.0869565217363</v>
      </c>
      <c r="G132" s="22">
        <f t="shared" si="137"/>
        <v>2768.3686956521742</v>
      </c>
      <c r="H132" s="22">
        <f t="shared" si="137"/>
        <v>2823.7360695652169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7"/>
      <c r="C133" s="1"/>
      <c r="D133" s="22"/>
      <c r="E133" s="22"/>
      <c r="F133" s="22"/>
      <c r="G133" s="22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7"/>
      <c r="C134" s="24" t="s">
        <v>87</v>
      </c>
      <c r="D134" s="32">
        <f t="shared" ref="D134:H135" si="138">D126+D130</f>
        <v>-50000</v>
      </c>
      <c r="E134" s="32">
        <f t="shared" si="138"/>
        <v>-51000</v>
      </c>
      <c r="F134" s="32">
        <f t="shared" si="138"/>
        <v>-52020</v>
      </c>
      <c r="G134" s="32">
        <f t="shared" si="138"/>
        <v>-53060.4</v>
      </c>
      <c r="H134" s="32">
        <f t="shared" si="138"/>
        <v>-54121.608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4"/>
      <c r="C135" s="35" t="s">
        <v>88</v>
      </c>
      <c r="D135" s="77">
        <f t="shared" si="138"/>
        <v>-43478.260869565216</v>
      </c>
      <c r="E135" s="77">
        <f t="shared" si="138"/>
        <v>-44347.826086956527</v>
      </c>
      <c r="F135" s="77">
        <f t="shared" si="138"/>
        <v>-45234.782608695656</v>
      </c>
      <c r="G135" s="77">
        <f t="shared" si="138"/>
        <v>-46139.478260869568</v>
      </c>
      <c r="H135" s="77">
        <f t="shared" si="138"/>
        <v>-47062.267826086958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4" t="s">
        <v>100</v>
      </c>
      <c r="C136" s="224" t="s">
        <v>263</v>
      </c>
      <c r="D136" s="78">
        <f t="shared" ref="D136:H136" si="139">D137-D138</f>
        <v>-50000</v>
      </c>
      <c r="E136" s="78">
        <f t="shared" si="139"/>
        <v>-50000</v>
      </c>
      <c r="F136" s="78">
        <f t="shared" si="139"/>
        <v>-50000</v>
      </c>
      <c r="G136" s="78">
        <f t="shared" si="139"/>
        <v>-50000</v>
      </c>
      <c r="H136" s="78">
        <f t="shared" si="139"/>
        <v>-50000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4"/>
      <c r="C137" s="224" t="s">
        <v>264</v>
      </c>
      <c r="D137" s="78">
        <v>-50000</v>
      </c>
      <c r="E137" s="78">
        <f>D137*(1+E$41*0)</f>
        <v>-50000</v>
      </c>
      <c r="F137" s="78">
        <f t="shared" ref="F137:H137" si="140">E137*(1+F$41*0)</f>
        <v>-50000</v>
      </c>
      <c r="G137" s="78">
        <f t="shared" si="140"/>
        <v>-50000</v>
      </c>
      <c r="H137" s="78">
        <f t="shared" si="140"/>
        <v>-50000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59">
        <v>0</v>
      </c>
      <c r="C138" s="14" t="s">
        <v>27</v>
      </c>
      <c r="D138" s="60">
        <f t="shared" ref="D138:H138" si="141">-D137*$B$138</f>
        <v>0</v>
      </c>
      <c r="E138" s="60">
        <f t="shared" si="141"/>
        <v>0</v>
      </c>
      <c r="F138" s="60">
        <f t="shared" si="141"/>
        <v>0</v>
      </c>
      <c r="G138" s="60">
        <f t="shared" si="141"/>
        <v>0</v>
      </c>
      <c r="H138" s="60">
        <f t="shared" si="141"/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79" t="s">
        <v>101</v>
      </c>
      <c r="C139" s="225" t="s">
        <v>263</v>
      </c>
      <c r="D139" s="80">
        <f t="shared" ref="D139:H139" si="142">D140-D141</f>
        <v>-57500</v>
      </c>
      <c r="E139" s="80">
        <f t="shared" si="142"/>
        <v>-42228</v>
      </c>
      <c r="F139" s="80">
        <f t="shared" si="142"/>
        <v>-43072.56</v>
      </c>
      <c r="G139" s="80">
        <f t="shared" si="142"/>
        <v>-43934.011200000008</v>
      </c>
      <c r="H139" s="80">
        <f t="shared" si="142"/>
        <v>-44812.691424000004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22" t="s">
        <v>264</v>
      </c>
      <c r="D140" s="22">
        <f>-12*3000-14000</f>
        <v>-50000</v>
      </c>
      <c r="E140" s="22">
        <f>-12*3000*(1+E$41)</f>
        <v>-36720</v>
      </c>
      <c r="F140" s="22">
        <f t="shared" ref="F140:H140" si="143">E140*(1+F$41)</f>
        <v>-37454.400000000001</v>
      </c>
      <c r="G140" s="22">
        <f t="shared" si="143"/>
        <v>-38203.488000000005</v>
      </c>
      <c r="H140" s="22">
        <f t="shared" si="143"/>
        <v>-38967.557760000003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59">
        <v>0.15</v>
      </c>
      <c r="C141" s="14" t="s">
        <v>27</v>
      </c>
      <c r="D141" s="60">
        <f t="shared" ref="D141:H141" si="144">-D140*$B$141</f>
        <v>7500</v>
      </c>
      <c r="E141" s="60">
        <f t="shared" si="144"/>
        <v>5508</v>
      </c>
      <c r="F141" s="60">
        <f t="shared" si="144"/>
        <v>5618.16</v>
      </c>
      <c r="G141" s="60">
        <f t="shared" si="144"/>
        <v>5730.5232000000005</v>
      </c>
      <c r="H141" s="60">
        <f t="shared" si="144"/>
        <v>5845.133664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79" t="s">
        <v>40</v>
      </c>
      <c r="C142" s="16" t="s">
        <v>66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4"/>
      <c r="C143" s="1" t="s">
        <v>102</v>
      </c>
      <c r="D143" s="22">
        <f t="shared" ref="D143:H143" si="145">D142+D144</f>
        <v>0</v>
      </c>
      <c r="E143" s="22">
        <f t="shared" si="145"/>
        <v>0</v>
      </c>
      <c r="F143" s="22">
        <f t="shared" si="145"/>
        <v>0</v>
      </c>
      <c r="G143" s="22">
        <f t="shared" si="145"/>
        <v>0</v>
      </c>
      <c r="H143" s="22">
        <f t="shared" si="145"/>
        <v>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59">
        <v>0.21</v>
      </c>
      <c r="C144" s="14" t="s">
        <v>27</v>
      </c>
      <c r="D144" s="60">
        <f t="shared" ref="D144:H144" si="146">-D142*$B$144</f>
        <v>0</v>
      </c>
      <c r="E144" s="60">
        <f t="shared" si="146"/>
        <v>0</v>
      </c>
      <c r="F144" s="60">
        <f t="shared" si="146"/>
        <v>0</v>
      </c>
      <c r="G144" s="60">
        <f t="shared" si="146"/>
        <v>0</v>
      </c>
      <c r="H144" s="60">
        <f t="shared" si="146"/>
        <v>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4" t="s">
        <v>39</v>
      </c>
      <c r="C145" s="1" t="s">
        <v>275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 t="s">
        <v>266</v>
      </c>
      <c r="D146" s="22">
        <f t="shared" ref="D146:H146" si="147">D145+D147</f>
        <v>0</v>
      </c>
      <c r="E146" s="22">
        <f t="shared" si="147"/>
        <v>0</v>
      </c>
      <c r="F146" s="22">
        <f t="shared" si="147"/>
        <v>0</v>
      </c>
      <c r="G146" s="22">
        <f t="shared" si="147"/>
        <v>0</v>
      </c>
      <c r="H146" s="22">
        <f t="shared" si="147"/>
        <v>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59">
        <v>0.15</v>
      </c>
      <c r="C147" s="14" t="s">
        <v>27</v>
      </c>
      <c r="D147" s="60">
        <f t="shared" ref="D147:H147" si="148">-D145*$B$147</f>
        <v>0</v>
      </c>
      <c r="E147" s="60">
        <f t="shared" si="148"/>
        <v>0</v>
      </c>
      <c r="F147" s="60">
        <f t="shared" si="148"/>
        <v>0</v>
      </c>
      <c r="G147" s="60">
        <f t="shared" si="148"/>
        <v>0</v>
      </c>
      <c r="H147" s="60">
        <f t="shared" si="148"/>
        <v>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4" t="s">
        <v>27</v>
      </c>
      <c r="C148" s="1" t="s">
        <v>103</v>
      </c>
      <c r="D148" s="22">
        <v>90000</v>
      </c>
      <c r="E148" s="22">
        <v>0</v>
      </c>
      <c r="F148" s="22">
        <v>0</v>
      </c>
      <c r="G148" s="22">
        <v>0</v>
      </c>
      <c r="H148" s="22">
        <v>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2"/>
      <c r="E149" s="22"/>
      <c r="F149" s="22"/>
      <c r="G149" s="22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4" sqref="D4"/>
    </sheetView>
  </sheetViews>
  <sheetFormatPr defaultColWidth="12.625" defaultRowHeight="15" customHeight="1" outlineLevelRow="1" x14ac:dyDescent="0.2"/>
  <cols>
    <col min="1" max="1" width="8" customWidth="1"/>
    <col min="2" max="2" width="12.75" customWidth="1"/>
    <col min="3" max="3" width="40" bestFit="1" customWidth="1"/>
    <col min="4" max="4" width="10" customWidth="1"/>
    <col min="5" max="5" width="16.75" bestFit="1" customWidth="1"/>
    <col min="6" max="6" width="13.625" customWidth="1"/>
    <col min="7" max="9" width="8" customWidth="1"/>
    <col min="10" max="26" width="7.625" customWidth="1"/>
  </cols>
  <sheetData>
    <row r="1" spans="1:26" ht="38.25" x14ac:dyDescent="0.2">
      <c r="A1" s="81"/>
      <c r="B1" s="81"/>
      <c r="C1" s="81"/>
      <c r="D1" s="213" t="s">
        <v>254</v>
      </c>
      <c r="E1" s="211" t="s">
        <v>252</v>
      </c>
      <c r="F1" s="213" t="s">
        <v>253</v>
      </c>
      <c r="G1" s="81"/>
      <c r="H1" s="81" t="s">
        <v>104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2.75" customHeight="1" x14ac:dyDescent="0.2">
      <c r="A2" s="81"/>
      <c r="B2" s="81"/>
      <c r="C2" s="82" t="s">
        <v>105</v>
      </c>
      <c r="D2" s="82">
        <v>60</v>
      </c>
      <c r="E2" s="205">
        <v>100</v>
      </c>
      <c r="F2" s="82">
        <v>119</v>
      </c>
      <c r="G2" s="81"/>
      <c r="H2" s="82">
        <v>119</v>
      </c>
      <c r="I2" s="81" t="s">
        <v>106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2.75" customHeight="1" x14ac:dyDescent="0.2">
      <c r="A3" s="81"/>
      <c r="B3" s="81"/>
      <c r="C3" s="83"/>
      <c r="D3" s="83"/>
      <c r="E3" s="206"/>
      <c r="F3" s="83"/>
      <c r="G3" s="81"/>
      <c r="H3" s="8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2.75" customHeight="1" x14ac:dyDescent="0.2">
      <c r="A4" s="81"/>
      <c r="B4" s="81"/>
      <c r="C4" s="212" t="s">
        <v>255</v>
      </c>
      <c r="D4" s="84">
        <v>800</v>
      </c>
      <c r="E4" s="207">
        <f t="shared" ref="E4:F4" si="0">D4</f>
        <v>800</v>
      </c>
      <c r="F4" s="86">
        <f t="shared" si="0"/>
        <v>800</v>
      </c>
      <c r="G4" s="81"/>
      <c r="H4" s="86" t="s">
        <v>107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2.75" customHeight="1" x14ac:dyDescent="0.2">
      <c r="A5" s="81"/>
      <c r="B5" s="81"/>
      <c r="C5" s="212" t="s">
        <v>256</v>
      </c>
      <c r="D5" s="87">
        <f>'JAS_Rozpocet 2020 (detail)'!V84</f>
        <v>6717.4757281553393</v>
      </c>
      <c r="E5" s="208">
        <f>'JAS_Rozpocet 2020 (detail)'!V88</f>
        <v>6717.4757281553393</v>
      </c>
      <c r="F5" s="87">
        <f t="shared" ref="F5:F6" si="1">E5</f>
        <v>6717.4757281553393</v>
      </c>
      <c r="G5" s="81"/>
      <c r="H5" s="87" t="s">
        <v>107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12.75" customHeight="1" x14ac:dyDescent="0.2">
      <c r="A6" s="81"/>
      <c r="B6" s="81"/>
      <c r="C6" s="88" t="s">
        <v>108</v>
      </c>
      <c r="D6" s="89">
        <f>'JAS_Rozpocet 2020 (detail)'!X37</f>
        <v>7800</v>
      </c>
      <c r="E6" s="209">
        <f>'JAS_Rozpocet 2020 (detail)'!X77</f>
        <v>7800</v>
      </c>
      <c r="F6" s="89">
        <f t="shared" si="1"/>
        <v>7800</v>
      </c>
      <c r="G6" s="81"/>
      <c r="H6" s="89" t="s">
        <v>107</v>
      </c>
      <c r="I6" s="81" t="s">
        <v>109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2.75" customHeight="1" x14ac:dyDescent="0.2">
      <c r="A7" s="81"/>
      <c r="B7" s="88"/>
      <c r="C7" s="83"/>
      <c r="D7" s="83"/>
      <c r="E7" s="206"/>
      <c r="F7" s="83"/>
      <c r="G7" s="81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12.75" customHeight="1" outlineLevel="1" x14ac:dyDescent="0.2">
      <c r="A8" s="81"/>
      <c r="B8" s="193" t="s">
        <v>25</v>
      </c>
      <c r="C8" s="81" t="s">
        <v>110</v>
      </c>
      <c r="D8" s="87">
        <f>'JAS_Rozpocet 2020 (detail)'!E88</f>
        <v>282133.98058252427</v>
      </c>
      <c r="E8" s="208">
        <f>'JAS_Rozpocet 2020 (detail)'!E84</f>
        <v>550833.00970873784</v>
      </c>
      <c r="F8" s="87">
        <f>'JAS_Rozpocet 2020 (detail)'!E80+F4*'JAS_Rozpocet 2020 (detail)'!AB79</f>
        <v>691900</v>
      </c>
      <c r="G8" s="81"/>
      <c r="H8" s="87">
        <f>'JAS_Rozpocet 2020 (detail)'!E80</f>
        <v>609500</v>
      </c>
      <c r="I8" s="90" t="s">
        <v>111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12.75" customHeight="1" outlineLevel="1" x14ac:dyDescent="0.2">
      <c r="A9" s="81"/>
      <c r="B9" s="194"/>
      <c r="C9" s="81" t="s">
        <v>112</v>
      </c>
      <c r="D9" s="87">
        <f>'JAS_Rozpocet 2020 (detail)'!E89</f>
        <v>291443.63684873952</v>
      </c>
      <c r="E9" s="208">
        <f>'JAS_Rozpocet 2020 (detail)'!E85</f>
        <v>431013.40474789916</v>
      </c>
      <c r="F9" s="87">
        <f>'JAS_Rozpocet 2020 (detail)'!E78</f>
        <v>498119.04499999998</v>
      </c>
      <c r="G9" s="81"/>
      <c r="H9" s="87">
        <f>'JAS_Rozpocet 2020 (detail)'!E81</f>
        <v>416754</v>
      </c>
      <c r="I9" s="90" t="s">
        <v>111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12.75" customHeight="1" outlineLevel="1" x14ac:dyDescent="0.2">
      <c r="A10" s="81"/>
      <c r="B10" s="195"/>
      <c r="C10" s="88" t="s">
        <v>113</v>
      </c>
      <c r="D10" s="89">
        <f t="shared" ref="D10:F10" si="2">D8-D9</f>
        <v>-9309.6562662152573</v>
      </c>
      <c r="E10" s="209">
        <f t="shared" si="2"/>
        <v>119819.60496083868</v>
      </c>
      <c r="F10" s="89">
        <f t="shared" si="2"/>
        <v>193780.95500000002</v>
      </c>
      <c r="G10" s="81"/>
      <c r="H10" s="89">
        <f>'JAS_Rozpocet 2020 (detail)'!E82</f>
        <v>192746</v>
      </c>
      <c r="I10" s="90" t="s">
        <v>111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12.75" customHeight="1" x14ac:dyDescent="0.2">
      <c r="A11" s="81"/>
      <c r="B11" s="83"/>
      <c r="C11" s="83"/>
      <c r="D11" s="91"/>
      <c r="E11" s="210"/>
      <c r="F11" s="91"/>
      <c r="G11" s="81"/>
      <c r="H11" s="9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2.75" customHeight="1" x14ac:dyDescent="0.2">
      <c r="A12" s="81"/>
      <c r="B12" s="193" t="s">
        <v>26</v>
      </c>
      <c r="C12" s="81" t="s">
        <v>110</v>
      </c>
      <c r="D12" s="87">
        <f>'JAS_Rozpocet 2020 (detail)'!H88</f>
        <v>233168.57899382172</v>
      </c>
      <c r="E12" s="208">
        <f>'JAS_Rozpocet 2020 (detail)'!H84</f>
        <v>455233.89232127095</v>
      </c>
      <c r="F12" s="87">
        <f>'JAS_Shrnuti 2020'!F8/1.21</f>
        <v>571818.18181818188</v>
      </c>
      <c r="G12" s="81"/>
      <c r="H12" s="87">
        <f>'JAS_Rozpocet 2020 (detail)'!E80</f>
        <v>609500</v>
      </c>
      <c r="I12" s="90" t="s">
        <v>111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12.75" customHeight="1" x14ac:dyDescent="0.2">
      <c r="A13" s="81"/>
      <c r="B13" s="194"/>
      <c r="C13" s="81" t="s">
        <v>112</v>
      </c>
      <c r="D13" s="87">
        <f>'JAS_Rozpocet 2020 (detail)'!H89</f>
        <v>248971.73299987623</v>
      </c>
      <c r="E13" s="208">
        <f>'JAS_Rozpocet 2020 (detail)'!H85</f>
        <v>369851.28006866423</v>
      </c>
      <c r="F13" s="87">
        <f>'JAS_Rozpocet 2020 (detail)'!L78</f>
        <v>427973.41318720806</v>
      </c>
      <c r="G13" s="81"/>
      <c r="H13" s="87">
        <f>'JAS_Rozpocet 2020 (detail)'!E81</f>
        <v>416754</v>
      </c>
      <c r="I13" s="90" t="s">
        <v>111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12.75" customHeight="1" x14ac:dyDescent="0.2">
      <c r="A14" s="81"/>
      <c r="B14" s="195"/>
      <c r="C14" s="88" t="s">
        <v>113</v>
      </c>
      <c r="D14" s="89">
        <f t="shared" ref="D14:F14" si="3">D12-D13</f>
        <v>-15803.154006054508</v>
      </c>
      <c r="E14" s="209">
        <f t="shared" si="3"/>
        <v>85382.612252606719</v>
      </c>
      <c r="F14" s="89">
        <f t="shared" si="3"/>
        <v>143844.76863097382</v>
      </c>
      <c r="G14" s="81"/>
      <c r="H14" s="89">
        <f>'JAS_Rozpocet 2020 (detail)'!E82</f>
        <v>192746</v>
      </c>
      <c r="I14" s="90" t="s">
        <v>111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12.75" customHeight="1" x14ac:dyDescent="0.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12.75" customHeight="1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12.75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12.75" customHeight="1" x14ac:dyDescent="0.2">
      <c r="A18" s="81"/>
      <c r="B18" s="81"/>
      <c r="C18" s="81" t="s">
        <v>114</v>
      </c>
      <c r="D18" s="81" t="s">
        <v>115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2.75" customHeight="1" x14ac:dyDescent="0.2">
      <c r="A19" s="81"/>
      <c r="B19" s="81"/>
      <c r="C19" s="81"/>
      <c r="D19" s="81" t="s">
        <v>116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12.75" customHeigh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12.75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12.75" customHeight="1" x14ac:dyDescent="0.2">
      <c r="A22" s="81"/>
      <c r="B22" s="214" t="s">
        <v>257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12.7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12.75" customHeight="1" x14ac:dyDescent="0.2">
      <c r="A24" s="81"/>
      <c r="B24" s="81" t="s">
        <v>117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2.75" customHeight="1" x14ac:dyDescent="0.2">
      <c r="A25" s="81"/>
      <c r="B25" s="81" t="s">
        <v>118</v>
      </c>
      <c r="C25" s="81"/>
      <c r="D25" s="87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2.75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2.75" customHeight="1" x14ac:dyDescent="0.2">
      <c r="A27" s="81"/>
      <c r="B27" s="81" t="s">
        <v>119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2.75" customHeight="1" x14ac:dyDescent="0.2">
      <c r="A28" s="81"/>
      <c r="B28" s="212" t="s">
        <v>258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2.7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2.75" customHeight="1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2.75" customHeight="1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2.75" customHeight="1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2.7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2.75" customHeigh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2.7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2.75" customHeigh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2.75" customHeigh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2.75" customHeight="1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12.75" customHeight="1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2.7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12.7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2.75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2.75" customHeight="1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2.75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12.75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12.7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2.7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12.75" customHeight="1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2.75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2.75" customHeight="1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2.75" customHeight="1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2.75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2.75" customHeight="1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2.75" customHeight="1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2.75" customHeight="1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12.75" customHeight="1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2.75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12.75" customHeight="1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12.75" customHeight="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12.75" customHeight="1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12.75" customHeight="1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12.75" customHeight="1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12.75" customHeight="1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12.75" customHeight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12.75" customHeight="1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12.75" customHeight="1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12.75" customHeight="1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12.75" customHeight="1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12.75" customHeight="1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12.75" customHeight="1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2.75" customHeight="1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2.75" customHeight="1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2.75" customHeight="1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2.75" customHeight="1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2.75" customHeight="1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2.75" customHeight="1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2.75" customHeight="1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2.75" customHeight="1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2.75" customHeight="1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2.75" customHeight="1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2.75" customHeight="1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2.75" customHeight="1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2.75" customHeight="1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2.75" customHeight="1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2.75" customHeight="1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2.75" customHeight="1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2.75" customHeight="1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2.75" customHeight="1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2.75" customHeight="1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2.75" customHeight="1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2.75" customHeight="1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2.75" customHeight="1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2.75" customHeight="1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2.75" customHeight="1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2.75" customHeight="1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2.75" customHeight="1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2.75" customHeight="1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2.75" customHeight="1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2.75" customHeight="1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2.75" customHeight="1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2.75" customHeight="1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2.75" customHeight="1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2.75" customHeight="1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2.75" customHeight="1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2.75" customHeight="1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2.75" customHeight="1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2.75" customHeight="1" x14ac:dyDescent="0.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2.75" customHeight="1" x14ac:dyDescent="0.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2.75" customHeight="1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2.75" customHeight="1" x14ac:dyDescent="0.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2.75" customHeight="1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2.75" customHeight="1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2.75" customHeight="1" x14ac:dyDescent="0.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2.75" customHeight="1" x14ac:dyDescent="0.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2.75" customHeight="1" x14ac:dyDescent="0.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2.75" customHeight="1" x14ac:dyDescent="0.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2.75" customHeight="1" x14ac:dyDescent="0.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2.75" customHeight="1" x14ac:dyDescent="0.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2.75" customHeight="1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2.75" customHeight="1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2.75" customHeight="1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2.75" customHeight="1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2.75" customHeight="1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2.75" customHeight="1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2.75" customHeight="1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2.75" customHeight="1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2.75" customHeight="1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2.75" customHeight="1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2.75" customHeight="1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2.75" customHeight="1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2.75" customHeight="1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2.75" customHeight="1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2.75" customHeight="1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2.75" customHeight="1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2.75" customHeight="1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2.75" customHeight="1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2.75" customHeight="1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2.75" customHeight="1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2.75" customHeight="1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2.75" customHeight="1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2.75" customHeight="1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2.75" customHeight="1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2.75" customHeight="1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2.75" customHeight="1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2.75" customHeight="1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2.75" customHeight="1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2.75" customHeight="1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2.75" customHeight="1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2.75" customHeight="1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2.75" customHeight="1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2.75" customHeight="1" x14ac:dyDescent="0.2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2.75" customHeight="1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2.75" customHeight="1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2.75" customHeight="1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2.75" customHeight="1" x14ac:dyDescent="0.2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2.75" customHeight="1" x14ac:dyDescent="0.2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2.75" customHeight="1" x14ac:dyDescent="0.2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2.75" customHeight="1" x14ac:dyDescent="0.2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2.75" customHeight="1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2.75" customHeight="1" x14ac:dyDescent="0.2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2.75" customHeight="1" x14ac:dyDescent="0.2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2.75" customHeight="1" x14ac:dyDescent="0.2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2.75" customHeight="1" x14ac:dyDescent="0.2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2.75" customHeight="1" x14ac:dyDescent="0.2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2.75" customHeight="1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2.75" customHeight="1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2.75" customHeight="1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2.75" customHeight="1" x14ac:dyDescent="0.2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2.75" customHeight="1" x14ac:dyDescent="0.2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2.75" customHeight="1" x14ac:dyDescent="0.2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2.75" customHeight="1" x14ac:dyDescent="0.2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2.75" customHeight="1" x14ac:dyDescent="0.2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2.75" customHeight="1" x14ac:dyDescent="0.2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2.75" customHeight="1" x14ac:dyDescent="0.2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2.75" customHeight="1" x14ac:dyDescent="0.2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2.75" customHeight="1" x14ac:dyDescent="0.2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2.75" customHeight="1" x14ac:dyDescent="0.2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2.75" customHeight="1" x14ac:dyDescent="0.2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2.75" customHeight="1" x14ac:dyDescent="0.2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2.75" customHeight="1" x14ac:dyDescent="0.2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2.75" customHeight="1" x14ac:dyDescent="0.2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2.75" customHeight="1" x14ac:dyDescent="0.2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2.75" customHeight="1" x14ac:dyDescent="0.2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2.75" customHeight="1" x14ac:dyDescent="0.2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2.75" customHeight="1" x14ac:dyDescent="0.2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2.75" customHeight="1" x14ac:dyDescent="0.2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2.75" customHeight="1" x14ac:dyDescent="0.2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2.75" customHeight="1" x14ac:dyDescent="0.2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2.75" customHeight="1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2.75" customHeight="1" x14ac:dyDescent="0.2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2.75" customHeight="1" x14ac:dyDescent="0.2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2.75" customHeight="1" x14ac:dyDescent="0.2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2.75" customHeight="1" x14ac:dyDescent="0.2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2.75" customHeight="1" x14ac:dyDescent="0.2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2.75" customHeight="1" x14ac:dyDescent="0.2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2.75" customHeight="1" x14ac:dyDescent="0.2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2.75" customHeight="1" x14ac:dyDescent="0.2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2.75" customHeight="1" x14ac:dyDescent="0.2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2.75" customHeight="1" x14ac:dyDescent="0.2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2.75" customHeight="1" x14ac:dyDescent="0.2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2.75" customHeight="1" x14ac:dyDescent="0.2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2.75" customHeight="1" x14ac:dyDescent="0.2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2.75" customHeight="1" x14ac:dyDescent="0.2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2.75" customHeight="1" x14ac:dyDescent="0.2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2.75" customHeight="1" x14ac:dyDescent="0.2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2.75" customHeight="1" x14ac:dyDescent="0.2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2.75" customHeight="1" x14ac:dyDescent="0.2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2.75" customHeight="1" x14ac:dyDescent="0.2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2.75" customHeight="1" x14ac:dyDescent="0.2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2.75" customHeight="1" x14ac:dyDescent="0.2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2.75" customHeight="1" x14ac:dyDescent="0.2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2.75" customHeight="1" x14ac:dyDescent="0.2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2.75" customHeight="1" x14ac:dyDescent="0.2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2.75" customHeight="1" x14ac:dyDescent="0.2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2.75" customHeight="1" x14ac:dyDescent="0.2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2.75" customHeight="1" x14ac:dyDescent="0.2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2.75" customHeight="1" x14ac:dyDescent="0.2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2.75" customHeight="1" x14ac:dyDescent="0.2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2.75" customHeight="1" x14ac:dyDescent="0.2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2.75" customHeight="1" x14ac:dyDescent="0.2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2.75" customHeight="1" x14ac:dyDescent="0.2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2.75" customHeight="1" x14ac:dyDescent="0.2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2.75" customHeight="1" x14ac:dyDescent="0.2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12.75" customHeight="1" x14ac:dyDescent="0.2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12.75" customHeight="1" x14ac:dyDescent="0.2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12.75" customHeight="1" x14ac:dyDescent="0.2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12.75" customHeight="1" x14ac:dyDescent="0.2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12.75" customHeight="1" x14ac:dyDescent="0.2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12.75" customHeight="1" x14ac:dyDescent="0.2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12.75" customHeight="1" x14ac:dyDescent="0.2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12.75" customHeight="1" x14ac:dyDescent="0.2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12.75" customHeight="1" x14ac:dyDescent="0.2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12.75" customHeight="1" x14ac:dyDescent="0.2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12.75" customHeight="1" x14ac:dyDescent="0.2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12.75" customHeight="1" x14ac:dyDescent="0.2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12.75" customHeight="1" x14ac:dyDescent="0.2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12.75" customHeight="1" x14ac:dyDescent="0.2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12.75" customHeight="1" x14ac:dyDescent="0.2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12.75" customHeight="1" x14ac:dyDescent="0.2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12.75" customHeight="1" x14ac:dyDescent="0.2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12.75" customHeight="1" x14ac:dyDescent="0.2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12.75" customHeight="1" x14ac:dyDescent="0.2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12.75" customHeight="1" x14ac:dyDescent="0.2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12.75" customHeight="1" x14ac:dyDescent="0.2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12.75" customHeight="1" x14ac:dyDescent="0.2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12.75" customHeight="1" x14ac:dyDescent="0.2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12.75" customHeight="1" x14ac:dyDescent="0.2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12.75" customHeight="1" x14ac:dyDescent="0.2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12.75" customHeight="1" x14ac:dyDescent="0.2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12.75" customHeight="1" x14ac:dyDescent="0.2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12.75" customHeight="1" x14ac:dyDescent="0.2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12.75" customHeight="1" x14ac:dyDescent="0.2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12.75" customHeight="1" x14ac:dyDescent="0.2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12.75" customHeight="1" x14ac:dyDescent="0.2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12.75" customHeight="1" x14ac:dyDescent="0.2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12.75" customHeight="1" x14ac:dyDescent="0.2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12.75" customHeight="1" x14ac:dyDescent="0.2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12.75" customHeight="1" x14ac:dyDescent="0.2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12.75" customHeight="1" x14ac:dyDescent="0.2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12.75" customHeight="1" x14ac:dyDescent="0.2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12.75" customHeight="1" x14ac:dyDescent="0.2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12.75" customHeight="1" x14ac:dyDescent="0.2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12.75" customHeight="1" x14ac:dyDescent="0.2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12.75" customHeight="1" x14ac:dyDescent="0.2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12.75" customHeight="1" x14ac:dyDescent="0.2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12.75" customHeight="1" x14ac:dyDescent="0.2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12.75" customHeight="1" x14ac:dyDescent="0.2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12.75" customHeight="1" x14ac:dyDescent="0.2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12.75" customHeight="1" x14ac:dyDescent="0.2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12.75" customHeight="1" x14ac:dyDescent="0.2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12.75" customHeight="1" x14ac:dyDescent="0.2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12.75" customHeight="1" x14ac:dyDescent="0.2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12.75" customHeight="1" x14ac:dyDescent="0.2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12.75" customHeight="1" x14ac:dyDescent="0.2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12.75" customHeight="1" x14ac:dyDescent="0.2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12.75" customHeight="1" x14ac:dyDescent="0.2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12.75" customHeight="1" x14ac:dyDescent="0.2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12.75" customHeight="1" x14ac:dyDescent="0.2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12.75" customHeight="1" x14ac:dyDescent="0.2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12.75" customHeight="1" x14ac:dyDescent="0.2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12.75" customHeight="1" x14ac:dyDescent="0.2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12.75" customHeight="1" x14ac:dyDescent="0.2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12.75" customHeight="1" x14ac:dyDescent="0.2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12.75" customHeight="1" x14ac:dyDescent="0.2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12.75" customHeight="1" x14ac:dyDescent="0.2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12.75" customHeight="1" x14ac:dyDescent="0.2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12.75" customHeight="1" x14ac:dyDescent="0.2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12.75" customHeight="1" x14ac:dyDescent="0.2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12.75" customHeight="1" x14ac:dyDescent="0.2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12.75" customHeight="1" x14ac:dyDescent="0.2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12.75" customHeight="1" x14ac:dyDescent="0.2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12.75" customHeight="1" x14ac:dyDescent="0.2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12.75" customHeight="1" x14ac:dyDescent="0.2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12.75" customHeight="1" x14ac:dyDescent="0.2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12.75" customHeight="1" x14ac:dyDescent="0.2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12.75" customHeight="1" x14ac:dyDescent="0.2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12.75" customHeight="1" x14ac:dyDescent="0.2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12.75" customHeight="1" x14ac:dyDescent="0.2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12.75" customHeight="1" x14ac:dyDescent="0.2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12.75" customHeight="1" x14ac:dyDescent="0.2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12.75" customHeight="1" x14ac:dyDescent="0.2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12.75" customHeight="1" x14ac:dyDescent="0.2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12.75" customHeight="1" x14ac:dyDescent="0.2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12.75" customHeight="1" x14ac:dyDescent="0.2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12.75" customHeight="1" x14ac:dyDescent="0.2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12.75" customHeight="1" x14ac:dyDescent="0.2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12.75" customHeight="1" x14ac:dyDescent="0.2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12.75" customHeight="1" x14ac:dyDescent="0.2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12.75" customHeight="1" x14ac:dyDescent="0.2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12.75" customHeight="1" x14ac:dyDescent="0.2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12.75" customHeight="1" x14ac:dyDescent="0.2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12.75" customHeight="1" x14ac:dyDescent="0.2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12.75" customHeight="1" x14ac:dyDescent="0.2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12.75" customHeight="1" x14ac:dyDescent="0.2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12.75" customHeight="1" x14ac:dyDescent="0.2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12.75" customHeight="1" x14ac:dyDescent="0.2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12.75" customHeight="1" x14ac:dyDescent="0.2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12.75" customHeight="1" x14ac:dyDescent="0.2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12.75" customHeight="1" x14ac:dyDescent="0.2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12.75" customHeight="1" x14ac:dyDescent="0.2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12.75" customHeight="1" x14ac:dyDescent="0.2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12.75" customHeight="1" x14ac:dyDescent="0.2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12.75" customHeight="1" x14ac:dyDescent="0.2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12.75" customHeight="1" x14ac:dyDescent="0.2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12.75" customHeight="1" x14ac:dyDescent="0.2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12.75" customHeight="1" x14ac:dyDescent="0.2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12.75" customHeight="1" x14ac:dyDescent="0.2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12.75" customHeight="1" x14ac:dyDescent="0.2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12.75" customHeight="1" x14ac:dyDescent="0.2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12.75" customHeight="1" x14ac:dyDescent="0.2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12.75" customHeight="1" x14ac:dyDescent="0.2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12.75" customHeight="1" x14ac:dyDescent="0.2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12.75" customHeight="1" x14ac:dyDescent="0.2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12.75" customHeight="1" x14ac:dyDescent="0.2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12.75" customHeight="1" x14ac:dyDescent="0.2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12.75" customHeight="1" x14ac:dyDescent="0.2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12.75" customHeight="1" x14ac:dyDescent="0.2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12.75" customHeight="1" x14ac:dyDescent="0.2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12.75" customHeight="1" x14ac:dyDescent="0.2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12.75" customHeight="1" x14ac:dyDescent="0.2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12.75" customHeight="1" x14ac:dyDescent="0.2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12.75" customHeight="1" x14ac:dyDescent="0.2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12.75" customHeight="1" x14ac:dyDescent="0.2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12.75" customHeight="1" x14ac:dyDescent="0.2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12.75" customHeight="1" x14ac:dyDescent="0.2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12.75" customHeight="1" x14ac:dyDescent="0.2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12.75" customHeight="1" x14ac:dyDescent="0.2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12.75" customHeight="1" x14ac:dyDescent="0.2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12.75" customHeight="1" x14ac:dyDescent="0.2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12.75" customHeight="1" x14ac:dyDescent="0.2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12.75" customHeight="1" x14ac:dyDescent="0.2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12.75" customHeight="1" x14ac:dyDescent="0.2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12.75" customHeight="1" x14ac:dyDescent="0.2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12.75" customHeight="1" x14ac:dyDescent="0.2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12.75" customHeight="1" x14ac:dyDescent="0.2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12.75" customHeight="1" x14ac:dyDescent="0.2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12.75" customHeight="1" x14ac:dyDescent="0.2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12.75" customHeight="1" x14ac:dyDescent="0.2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12.75" customHeight="1" x14ac:dyDescent="0.2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12.75" customHeight="1" x14ac:dyDescent="0.2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12.75" customHeight="1" x14ac:dyDescent="0.2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12.75" customHeight="1" x14ac:dyDescent="0.2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12.75" customHeight="1" x14ac:dyDescent="0.2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12.75" customHeight="1" x14ac:dyDescent="0.2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12.75" customHeight="1" x14ac:dyDescent="0.2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12.75" customHeight="1" x14ac:dyDescent="0.2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12.75" customHeight="1" x14ac:dyDescent="0.2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12.75" customHeight="1" x14ac:dyDescent="0.2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12.75" customHeight="1" x14ac:dyDescent="0.2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12.75" customHeight="1" x14ac:dyDescent="0.2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12.75" customHeight="1" x14ac:dyDescent="0.2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12.75" customHeight="1" x14ac:dyDescent="0.2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12.75" customHeight="1" x14ac:dyDescent="0.2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12.75" customHeight="1" x14ac:dyDescent="0.2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12.75" customHeight="1" x14ac:dyDescent="0.2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12.75" customHeight="1" x14ac:dyDescent="0.2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12.75" customHeight="1" x14ac:dyDescent="0.2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12.75" customHeight="1" x14ac:dyDescent="0.2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12.75" customHeight="1" x14ac:dyDescent="0.2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12.75" customHeight="1" x14ac:dyDescent="0.2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12.75" customHeight="1" x14ac:dyDescent="0.2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12.75" customHeight="1" x14ac:dyDescent="0.2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12.75" customHeight="1" x14ac:dyDescent="0.2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12.75" customHeight="1" x14ac:dyDescent="0.2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12.75" customHeight="1" x14ac:dyDescent="0.2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12.75" customHeight="1" x14ac:dyDescent="0.2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12.75" customHeight="1" x14ac:dyDescent="0.2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12.75" customHeight="1" x14ac:dyDescent="0.2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12.75" customHeight="1" x14ac:dyDescent="0.2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12.75" customHeight="1" x14ac:dyDescent="0.2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12.75" customHeight="1" x14ac:dyDescent="0.2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12.75" customHeight="1" x14ac:dyDescent="0.2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12.75" customHeight="1" x14ac:dyDescent="0.2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12.75" customHeight="1" x14ac:dyDescent="0.2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12.75" customHeight="1" x14ac:dyDescent="0.2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12.75" customHeight="1" x14ac:dyDescent="0.2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12.75" customHeight="1" x14ac:dyDescent="0.2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12.75" customHeight="1" x14ac:dyDescent="0.2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12.75" customHeight="1" x14ac:dyDescent="0.2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12.75" customHeight="1" x14ac:dyDescent="0.2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12.75" customHeight="1" x14ac:dyDescent="0.2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12.75" customHeight="1" x14ac:dyDescent="0.2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12.75" customHeight="1" x14ac:dyDescent="0.2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12.75" customHeight="1" x14ac:dyDescent="0.2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12.75" customHeight="1" x14ac:dyDescent="0.2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12.75" customHeight="1" x14ac:dyDescent="0.2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12.75" customHeight="1" x14ac:dyDescent="0.2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12.75" customHeight="1" x14ac:dyDescent="0.2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12.75" customHeight="1" x14ac:dyDescent="0.2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12.75" customHeight="1" x14ac:dyDescent="0.2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12.75" customHeight="1" x14ac:dyDescent="0.2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12.75" customHeight="1" x14ac:dyDescent="0.2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12.75" customHeight="1" x14ac:dyDescent="0.2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12.75" customHeight="1" x14ac:dyDescent="0.2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12.75" customHeight="1" x14ac:dyDescent="0.2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12.75" customHeight="1" x14ac:dyDescent="0.2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12.75" customHeight="1" x14ac:dyDescent="0.2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12.75" customHeight="1" x14ac:dyDescent="0.2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12.75" customHeight="1" x14ac:dyDescent="0.2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12.75" customHeight="1" x14ac:dyDescent="0.2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12.75" customHeight="1" x14ac:dyDescent="0.2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12.75" customHeight="1" x14ac:dyDescent="0.2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12.75" customHeight="1" x14ac:dyDescent="0.2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12.75" customHeight="1" x14ac:dyDescent="0.2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12.75" customHeight="1" x14ac:dyDescent="0.2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12.75" customHeight="1" x14ac:dyDescent="0.2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12.75" customHeight="1" x14ac:dyDescent="0.2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12.75" customHeight="1" x14ac:dyDescent="0.2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12.75" customHeight="1" x14ac:dyDescent="0.2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12.75" customHeight="1" x14ac:dyDescent="0.2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12.75" customHeight="1" x14ac:dyDescent="0.2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12.75" customHeight="1" x14ac:dyDescent="0.2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12.75" customHeight="1" x14ac:dyDescent="0.2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12.75" customHeight="1" x14ac:dyDescent="0.2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12.75" customHeight="1" x14ac:dyDescent="0.2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12.75" customHeight="1" x14ac:dyDescent="0.2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12.75" customHeight="1" x14ac:dyDescent="0.2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12.75" customHeight="1" x14ac:dyDescent="0.2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12.75" customHeight="1" x14ac:dyDescent="0.2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12.75" customHeight="1" x14ac:dyDescent="0.2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12.75" customHeight="1" x14ac:dyDescent="0.2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12.75" customHeight="1" x14ac:dyDescent="0.2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12.75" customHeight="1" x14ac:dyDescent="0.2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12.75" customHeight="1" x14ac:dyDescent="0.2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12.75" customHeight="1" x14ac:dyDescent="0.2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12.75" customHeight="1" x14ac:dyDescent="0.2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12.75" customHeight="1" x14ac:dyDescent="0.2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12.75" customHeight="1" x14ac:dyDescent="0.2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12.75" customHeight="1" x14ac:dyDescent="0.2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12.75" customHeight="1" x14ac:dyDescent="0.2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12.75" customHeight="1" x14ac:dyDescent="0.2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12.75" customHeight="1" x14ac:dyDescent="0.2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12.75" customHeight="1" x14ac:dyDescent="0.2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12.75" customHeight="1" x14ac:dyDescent="0.2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12.75" customHeight="1" x14ac:dyDescent="0.2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12.75" customHeight="1" x14ac:dyDescent="0.2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12.75" customHeight="1" x14ac:dyDescent="0.2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12.75" customHeight="1" x14ac:dyDescent="0.2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12.75" customHeight="1" x14ac:dyDescent="0.2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12.75" customHeight="1" x14ac:dyDescent="0.2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12.75" customHeight="1" x14ac:dyDescent="0.2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12.75" customHeight="1" x14ac:dyDescent="0.2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12.75" customHeight="1" x14ac:dyDescent="0.2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12.75" customHeight="1" x14ac:dyDescent="0.2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12.75" customHeight="1" x14ac:dyDescent="0.2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12.75" customHeight="1" x14ac:dyDescent="0.2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12.75" customHeight="1" x14ac:dyDescent="0.2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12.75" customHeight="1" x14ac:dyDescent="0.2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12.75" customHeight="1" x14ac:dyDescent="0.2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12.75" customHeight="1" x14ac:dyDescent="0.2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12.75" customHeight="1" x14ac:dyDescent="0.2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12.75" customHeight="1" x14ac:dyDescent="0.2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12.75" customHeight="1" x14ac:dyDescent="0.2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12.75" customHeight="1" x14ac:dyDescent="0.2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12.75" customHeight="1" x14ac:dyDescent="0.2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12.75" customHeight="1" x14ac:dyDescent="0.2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12.75" customHeight="1" x14ac:dyDescent="0.2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12.75" customHeight="1" x14ac:dyDescent="0.2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12.75" customHeight="1" x14ac:dyDescent="0.2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12.75" customHeight="1" x14ac:dyDescent="0.2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12.75" customHeight="1" x14ac:dyDescent="0.2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12.75" customHeight="1" x14ac:dyDescent="0.2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12.75" customHeight="1" x14ac:dyDescent="0.2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12.75" customHeight="1" x14ac:dyDescent="0.2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12.75" customHeight="1" x14ac:dyDescent="0.2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12.75" customHeight="1" x14ac:dyDescent="0.2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12.75" customHeight="1" x14ac:dyDescent="0.2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12.75" customHeight="1" x14ac:dyDescent="0.2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12.75" customHeight="1" x14ac:dyDescent="0.2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12.75" customHeight="1" x14ac:dyDescent="0.2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12.75" customHeight="1" x14ac:dyDescent="0.2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12.75" customHeight="1" x14ac:dyDescent="0.2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12.75" customHeight="1" x14ac:dyDescent="0.2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12.75" customHeight="1" x14ac:dyDescent="0.2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12.75" customHeight="1" x14ac:dyDescent="0.2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12.75" customHeight="1" x14ac:dyDescent="0.2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12.75" customHeight="1" x14ac:dyDescent="0.2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12.75" customHeight="1" x14ac:dyDescent="0.2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12.75" customHeight="1" x14ac:dyDescent="0.2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12.75" customHeight="1" x14ac:dyDescent="0.2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12.75" customHeight="1" x14ac:dyDescent="0.2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12.75" customHeight="1" x14ac:dyDescent="0.2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12.75" customHeight="1" x14ac:dyDescent="0.2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12.75" customHeight="1" x14ac:dyDescent="0.2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12.75" customHeight="1" x14ac:dyDescent="0.2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12.75" customHeight="1" x14ac:dyDescent="0.2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12.75" customHeight="1" x14ac:dyDescent="0.2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12.75" customHeight="1" x14ac:dyDescent="0.2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12.75" customHeight="1" x14ac:dyDescent="0.2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12.75" customHeight="1" x14ac:dyDescent="0.2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12.75" customHeight="1" x14ac:dyDescent="0.2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12.75" customHeight="1" x14ac:dyDescent="0.2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12.75" customHeight="1" x14ac:dyDescent="0.2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12.75" customHeight="1" x14ac:dyDescent="0.2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12.75" customHeight="1" x14ac:dyDescent="0.2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12.75" customHeight="1" x14ac:dyDescent="0.2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12.75" customHeight="1" x14ac:dyDescent="0.2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12.75" customHeight="1" x14ac:dyDescent="0.2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12.75" customHeight="1" x14ac:dyDescent="0.2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12.75" customHeight="1" x14ac:dyDescent="0.2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12.75" customHeight="1" x14ac:dyDescent="0.2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12.75" customHeight="1" x14ac:dyDescent="0.2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12.75" customHeight="1" x14ac:dyDescent="0.2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12.75" customHeight="1" x14ac:dyDescent="0.2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12.75" customHeight="1" x14ac:dyDescent="0.2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12.75" customHeight="1" x14ac:dyDescent="0.2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12.75" customHeight="1" x14ac:dyDescent="0.2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12.75" customHeight="1" x14ac:dyDescent="0.2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12.75" customHeight="1" x14ac:dyDescent="0.2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12.75" customHeight="1" x14ac:dyDescent="0.2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12.75" customHeight="1" x14ac:dyDescent="0.2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12.75" customHeight="1" x14ac:dyDescent="0.2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12.75" customHeight="1" x14ac:dyDescent="0.2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12.75" customHeight="1" x14ac:dyDescent="0.2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12.75" customHeight="1" x14ac:dyDescent="0.2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12.75" customHeight="1" x14ac:dyDescent="0.2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12.75" customHeight="1" x14ac:dyDescent="0.2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12.75" customHeight="1" x14ac:dyDescent="0.2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12.75" customHeight="1" x14ac:dyDescent="0.2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12.75" customHeight="1" x14ac:dyDescent="0.2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12.75" customHeight="1" x14ac:dyDescent="0.2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12.75" customHeight="1" x14ac:dyDescent="0.2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12.75" customHeight="1" x14ac:dyDescent="0.2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12.75" customHeight="1" x14ac:dyDescent="0.2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12.75" customHeight="1" x14ac:dyDescent="0.2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12.75" customHeight="1" x14ac:dyDescent="0.2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12.75" customHeight="1" x14ac:dyDescent="0.2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12.75" customHeight="1" x14ac:dyDescent="0.2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12.75" customHeight="1" x14ac:dyDescent="0.2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12.75" customHeight="1" x14ac:dyDescent="0.2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12.75" customHeight="1" x14ac:dyDescent="0.2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12.75" customHeight="1" x14ac:dyDescent="0.2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12.75" customHeight="1" x14ac:dyDescent="0.2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12.75" customHeight="1" x14ac:dyDescent="0.2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12.75" customHeight="1" x14ac:dyDescent="0.2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12.75" customHeight="1" x14ac:dyDescent="0.2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12.75" customHeight="1" x14ac:dyDescent="0.2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12.75" customHeight="1" x14ac:dyDescent="0.2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12.75" customHeight="1" x14ac:dyDescent="0.2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12.75" customHeight="1" x14ac:dyDescent="0.2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12.75" customHeight="1" x14ac:dyDescent="0.2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12.75" customHeight="1" x14ac:dyDescent="0.2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12.75" customHeight="1" x14ac:dyDescent="0.2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12.75" customHeight="1" x14ac:dyDescent="0.2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12.75" customHeight="1" x14ac:dyDescent="0.2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12.75" customHeight="1" x14ac:dyDescent="0.2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12.75" customHeight="1" x14ac:dyDescent="0.2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12.75" customHeight="1" x14ac:dyDescent="0.2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12.75" customHeight="1" x14ac:dyDescent="0.2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12.75" customHeight="1" x14ac:dyDescent="0.2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12.75" customHeight="1" x14ac:dyDescent="0.2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12.75" customHeight="1" x14ac:dyDescent="0.2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12.75" customHeight="1" x14ac:dyDescent="0.2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12.75" customHeight="1" x14ac:dyDescent="0.2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12.75" customHeight="1" x14ac:dyDescent="0.2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12.75" customHeight="1" x14ac:dyDescent="0.2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12.75" customHeight="1" x14ac:dyDescent="0.2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12.75" customHeight="1" x14ac:dyDescent="0.2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12.75" customHeight="1" x14ac:dyDescent="0.2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12.75" customHeight="1" x14ac:dyDescent="0.2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12.75" customHeight="1" x14ac:dyDescent="0.2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12.75" customHeight="1" x14ac:dyDescent="0.2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12.75" customHeight="1" x14ac:dyDescent="0.2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12.75" customHeight="1" x14ac:dyDescent="0.2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12.75" customHeight="1" x14ac:dyDescent="0.2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12.75" customHeight="1" x14ac:dyDescent="0.2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12.75" customHeight="1" x14ac:dyDescent="0.2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12.75" customHeight="1" x14ac:dyDescent="0.2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12.75" customHeight="1" x14ac:dyDescent="0.2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12.75" customHeight="1" x14ac:dyDescent="0.2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12.75" customHeight="1" x14ac:dyDescent="0.2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12.75" customHeight="1" x14ac:dyDescent="0.2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12.75" customHeight="1" x14ac:dyDescent="0.2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12.75" customHeight="1" x14ac:dyDescent="0.2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12.75" customHeight="1" x14ac:dyDescent="0.2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12.75" customHeight="1" x14ac:dyDescent="0.2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12.75" customHeight="1" x14ac:dyDescent="0.2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12.75" customHeight="1" x14ac:dyDescent="0.2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12.75" customHeight="1" x14ac:dyDescent="0.2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12.75" customHeight="1" x14ac:dyDescent="0.2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12.75" customHeight="1" x14ac:dyDescent="0.2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12.75" customHeight="1" x14ac:dyDescent="0.2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12.75" customHeight="1" x14ac:dyDescent="0.2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12.75" customHeight="1" x14ac:dyDescent="0.2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12.75" customHeight="1" x14ac:dyDescent="0.2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12.75" customHeight="1" x14ac:dyDescent="0.2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12.75" customHeight="1" x14ac:dyDescent="0.2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12.75" customHeight="1" x14ac:dyDescent="0.2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12.75" customHeight="1" x14ac:dyDescent="0.2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12.75" customHeight="1" x14ac:dyDescent="0.2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12.75" customHeight="1" x14ac:dyDescent="0.2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12.75" customHeight="1" x14ac:dyDescent="0.2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12.75" customHeight="1" x14ac:dyDescent="0.2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12.75" customHeight="1" x14ac:dyDescent="0.2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12.75" customHeight="1" x14ac:dyDescent="0.2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12.75" customHeight="1" x14ac:dyDescent="0.2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12.75" customHeight="1" x14ac:dyDescent="0.2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12.75" customHeight="1" x14ac:dyDescent="0.2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12.75" customHeight="1" x14ac:dyDescent="0.2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12.75" customHeight="1" x14ac:dyDescent="0.2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12.75" customHeight="1" x14ac:dyDescent="0.2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12.75" customHeight="1" x14ac:dyDescent="0.2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12.75" customHeight="1" x14ac:dyDescent="0.2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12.75" customHeight="1" x14ac:dyDescent="0.2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12.75" customHeight="1" x14ac:dyDescent="0.2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12.75" customHeight="1" x14ac:dyDescent="0.2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12.75" customHeight="1" x14ac:dyDescent="0.2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12.75" customHeight="1" x14ac:dyDescent="0.2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12.75" customHeight="1" x14ac:dyDescent="0.2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12.75" customHeight="1" x14ac:dyDescent="0.2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12.75" customHeight="1" x14ac:dyDescent="0.2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12.75" customHeight="1" x14ac:dyDescent="0.2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12.75" customHeight="1" x14ac:dyDescent="0.2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12.75" customHeight="1" x14ac:dyDescent="0.2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12.75" customHeight="1" x14ac:dyDescent="0.2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12.75" customHeight="1" x14ac:dyDescent="0.2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12.75" customHeight="1" x14ac:dyDescent="0.2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12.75" customHeight="1" x14ac:dyDescent="0.2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12.75" customHeight="1" x14ac:dyDescent="0.2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12.75" customHeight="1" x14ac:dyDescent="0.2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12.75" customHeight="1" x14ac:dyDescent="0.2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12.75" customHeight="1" x14ac:dyDescent="0.2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12.75" customHeight="1" x14ac:dyDescent="0.2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12.75" customHeight="1" x14ac:dyDescent="0.2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12.75" customHeight="1" x14ac:dyDescent="0.2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12.75" customHeight="1" x14ac:dyDescent="0.2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12.75" customHeight="1" x14ac:dyDescent="0.2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12.75" customHeight="1" x14ac:dyDescent="0.2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12.75" customHeight="1" x14ac:dyDescent="0.2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12.75" customHeight="1" x14ac:dyDescent="0.2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12.75" customHeight="1" x14ac:dyDescent="0.2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12.75" customHeight="1" x14ac:dyDescent="0.2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12.75" customHeight="1" x14ac:dyDescent="0.2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12.75" customHeight="1" x14ac:dyDescent="0.2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12.75" customHeight="1" x14ac:dyDescent="0.2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12.75" customHeight="1" x14ac:dyDescent="0.2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12.75" customHeight="1" x14ac:dyDescent="0.2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12.75" customHeight="1" x14ac:dyDescent="0.2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12.75" customHeight="1" x14ac:dyDescent="0.2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12.75" customHeight="1" x14ac:dyDescent="0.2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12.75" customHeight="1" x14ac:dyDescent="0.2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12.75" customHeight="1" x14ac:dyDescent="0.2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12.75" customHeight="1" x14ac:dyDescent="0.2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12.75" customHeight="1" x14ac:dyDescent="0.2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12.75" customHeight="1" x14ac:dyDescent="0.2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12.75" customHeight="1" x14ac:dyDescent="0.2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12.75" customHeight="1" x14ac:dyDescent="0.2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12.75" customHeight="1" x14ac:dyDescent="0.2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12.75" customHeight="1" x14ac:dyDescent="0.2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12.75" customHeight="1" x14ac:dyDescent="0.2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12.75" customHeight="1" x14ac:dyDescent="0.2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12.75" customHeight="1" x14ac:dyDescent="0.2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12.75" customHeight="1" x14ac:dyDescent="0.2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12.75" customHeight="1" x14ac:dyDescent="0.2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12.75" customHeight="1" x14ac:dyDescent="0.2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12.75" customHeight="1" x14ac:dyDescent="0.2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12.75" customHeight="1" x14ac:dyDescent="0.2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12.75" customHeight="1" x14ac:dyDescent="0.2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12.75" customHeight="1" x14ac:dyDescent="0.2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12.75" customHeight="1" x14ac:dyDescent="0.2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12.75" customHeight="1" x14ac:dyDescent="0.2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12.75" customHeight="1" x14ac:dyDescent="0.2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12.75" customHeight="1" x14ac:dyDescent="0.2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12.75" customHeight="1" x14ac:dyDescent="0.2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12.75" customHeight="1" x14ac:dyDescent="0.2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12.75" customHeight="1" x14ac:dyDescent="0.2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12.75" customHeight="1" x14ac:dyDescent="0.2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12.75" customHeight="1" x14ac:dyDescent="0.2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12.75" customHeight="1" x14ac:dyDescent="0.2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12.75" customHeight="1" x14ac:dyDescent="0.2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12.75" customHeight="1" x14ac:dyDescent="0.2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12.75" customHeight="1" x14ac:dyDescent="0.2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12.75" customHeight="1" x14ac:dyDescent="0.2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12.75" customHeight="1" x14ac:dyDescent="0.2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12.75" customHeight="1" x14ac:dyDescent="0.2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12.75" customHeight="1" x14ac:dyDescent="0.2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12.75" customHeight="1" x14ac:dyDescent="0.2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12.75" customHeight="1" x14ac:dyDescent="0.2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12.75" customHeight="1" x14ac:dyDescent="0.2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12.75" customHeight="1" x14ac:dyDescent="0.2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12.75" customHeight="1" x14ac:dyDescent="0.2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12.75" customHeight="1" x14ac:dyDescent="0.2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12.75" customHeight="1" x14ac:dyDescent="0.2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12.75" customHeight="1" x14ac:dyDescent="0.2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12.75" customHeight="1" x14ac:dyDescent="0.2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12.75" customHeight="1" x14ac:dyDescent="0.2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12.75" customHeight="1" x14ac:dyDescent="0.2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12.75" customHeight="1" x14ac:dyDescent="0.2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12.75" customHeight="1" x14ac:dyDescent="0.2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12.75" customHeight="1" x14ac:dyDescent="0.2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12.75" customHeight="1" x14ac:dyDescent="0.2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12.75" customHeight="1" x14ac:dyDescent="0.2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12.75" customHeight="1" x14ac:dyDescent="0.2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12.75" customHeight="1" x14ac:dyDescent="0.2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12.75" customHeight="1" x14ac:dyDescent="0.2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12.75" customHeight="1" x14ac:dyDescent="0.2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12.75" customHeight="1" x14ac:dyDescent="0.2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12.75" customHeight="1" x14ac:dyDescent="0.2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12.75" customHeight="1" x14ac:dyDescent="0.2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12.75" customHeight="1" x14ac:dyDescent="0.2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12.75" customHeight="1" x14ac:dyDescent="0.2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12.75" customHeight="1" x14ac:dyDescent="0.2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12.75" customHeight="1" x14ac:dyDescent="0.2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12.75" customHeight="1" x14ac:dyDescent="0.2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12.75" customHeight="1" x14ac:dyDescent="0.2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12.75" customHeight="1" x14ac:dyDescent="0.2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12.75" customHeight="1" x14ac:dyDescent="0.2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12.75" customHeight="1" x14ac:dyDescent="0.2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12.75" customHeight="1" x14ac:dyDescent="0.2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12.75" customHeight="1" x14ac:dyDescent="0.2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12.75" customHeight="1" x14ac:dyDescent="0.2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12.75" customHeight="1" x14ac:dyDescent="0.2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12.75" customHeight="1" x14ac:dyDescent="0.2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12.75" customHeight="1" x14ac:dyDescent="0.2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12.75" customHeight="1" x14ac:dyDescent="0.2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12.75" customHeight="1" x14ac:dyDescent="0.2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12.75" customHeight="1" x14ac:dyDescent="0.2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12.75" customHeight="1" x14ac:dyDescent="0.2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12.75" customHeight="1" x14ac:dyDescent="0.2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12.75" customHeight="1" x14ac:dyDescent="0.2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12.75" customHeight="1" x14ac:dyDescent="0.2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12.75" customHeight="1" x14ac:dyDescent="0.2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12.75" customHeight="1" x14ac:dyDescent="0.2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12.75" customHeight="1" x14ac:dyDescent="0.2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12.75" customHeight="1" x14ac:dyDescent="0.2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12.75" customHeight="1" x14ac:dyDescent="0.2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12.75" customHeight="1" x14ac:dyDescent="0.2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12.75" customHeight="1" x14ac:dyDescent="0.2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12.75" customHeight="1" x14ac:dyDescent="0.2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12.75" customHeight="1" x14ac:dyDescent="0.2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12.75" customHeight="1" x14ac:dyDescent="0.2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12.75" customHeight="1" x14ac:dyDescent="0.2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12.75" customHeight="1" x14ac:dyDescent="0.2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12.75" customHeight="1" x14ac:dyDescent="0.2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12.75" customHeight="1" x14ac:dyDescent="0.2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12.75" customHeight="1" x14ac:dyDescent="0.2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12.75" customHeight="1" x14ac:dyDescent="0.2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12.75" customHeight="1" x14ac:dyDescent="0.2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12.75" customHeight="1" x14ac:dyDescent="0.2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12.75" customHeight="1" x14ac:dyDescent="0.2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12.75" customHeight="1" x14ac:dyDescent="0.2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12.75" customHeight="1" x14ac:dyDescent="0.2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12.75" customHeight="1" x14ac:dyDescent="0.2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12.75" customHeight="1" x14ac:dyDescent="0.2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12.75" customHeight="1" x14ac:dyDescent="0.2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12.75" customHeight="1" x14ac:dyDescent="0.2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12.75" customHeight="1" x14ac:dyDescent="0.2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12.75" customHeight="1" x14ac:dyDescent="0.2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12.75" customHeight="1" x14ac:dyDescent="0.2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12.75" customHeight="1" x14ac:dyDescent="0.2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12.75" customHeight="1" x14ac:dyDescent="0.2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12.75" customHeight="1" x14ac:dyDescent="0.2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12.75" customHeight="1" x14ac:dyDescent="0.2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12.75" customHeight="1" x14ac:dyDescent="0.2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12.75" customHeight="1" x14ac:dyDescent="0.2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12.75" customHeight="1" x14ac:dyDescent="0.2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12.75" customHeight="1" x14ac:dyDescent="0.2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12.75" customHeight="1" x14ac:dyDescent="0.2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12.75" customHeight="1" x14ac:dyDescent="0.2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12.75" customHeight="1" x14ac:dyDescent="0.2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12.75" customHeight="1" x14ac:dyDescent="0.2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12.75" customHeight="1" x14ac:dyDescent="0.2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12.75" customHeight="1" x14ac:dyDescent="0.2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12.75" customHeight="1" x14ac:dyDescent="0.2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12.75" customHeight="1" x14ac:dyDescent="0.2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12.75" customHeight="1" x14ac:dyDescent="0.2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12.75" customHeight="1" x14ac:dyDescent="0.2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12.75" customHeight="1" x14ac:dyDescent="0.2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12.75" customHeight="1" x14ac:dyDescent="0.2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12.75" customHeight="1" x14ac:dyDescent="0.2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12.75" customHeight="1" x14ac:dyDescent="0.2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12.75" customHeight="1" x14ac:dyDescent="0.2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12.75" customHeight="1" x14ac:dyDescent="0.2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12.75" customHeight="1" x14ac:dyDescent="0.2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12.75" customHeight="1" x14ac:dyDescent="0.2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12.75" customHeight="1" x14ac:dyDescent="0.2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12.75" customHeight="1" x14ac:dyDescent="0.2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12.75" customHeight="1" x14ac:dyDescent="0.2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12.75" customHeight="1" x14ac:dyDescent="0.2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12.75" customHeight="1" x14ac:dyDescent="0.2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12.75" customHeight="1" x14ac:dyDescent="0.2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12.75" customHeight="1" x14ac:dyDescent="0.2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12.75" customHeight="1" x14ac:dyDescent="0.2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12.75" customHeight="1" x14ac:dyDescent="0.2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12.75" customHeight="1" x14ac:dyDescent="0.2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12.75" customHeight="1" x14ac:dyDescent="0.2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12.75" customHeight="1" x14ac:dyDescent="0.2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12.75" customHeight="1" x14ac:dyDescent="0.2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12.75" customHeight="1" x14ac:dyDescent="0.2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12.75" customHeight="1" x14ac:dyDescent="0.2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12.75" customHeight="1" x14ac:dyDescent="0.2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12.75" customHeight="1" x14ac:dyDescent="0.2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12.75" customHeight="1" x14ac:dyDescent="0.2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12.75" customHeight="1" x14ac:dyDescent="0.2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12.75" customHeight="1" x14ac:dyDescent="0.2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12.75" customHeight="1" x14ac:dyDescent="0.2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12.75" customHeight="1" x14ac:dyDescent="0.2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12.75" customHeight="1" x14ac:dyDescent="0.2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12.75" customHeight="1" x14ac:dyDescent="0.2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12.75" customHeight="1" x14ac:dyDescent="0.2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12.75" customHeight="1" x14ac:dyDescent="0.2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12.75" customHeight="1" x14ac:dyDescent="0.2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12.75" customHeight="1" x14ac:dyDescent="0.2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12.75" customHeight="1" x14ac:dyDescent="0.2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12.75" customHeight="1" x14ac:dyDescent="0.2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12.75" customHeight="1" x14ac:dyDescent="0.2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12.75" customHeight="1" x14ac:dyDescent="0.2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12.75" customHeight="1" x14ac:dyDescent="0.2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12.75" customHeight="1" x14ac:dyDescent="0.2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12.75" customHeight="1" x14ac:dyDescent="0.2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12.75" customHeight="1" x14ac:dyDescent="0.2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12.75" customHeight="1" x14ac:dyDescent="0.2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12.75" customHeight="1" x14ac:dyDescent="0.2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12.75" customHeight="1" x14ac:dyDescent="0.2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12.75" customHeight="1" x14ac:dyDescent="0.2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12.75" customHeight="1" x14ac:dyDescent="0.2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12.75" customHeight="1" x14ac:dyDescent="0.2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12.75" customHeight="1" x14ac:dyDescent="0.2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12.75" customHeight="1" x14ac:dyDescent="0.2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12.75" customHeight="1" x14ac:dyDescent="0.2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12.75" customHeight="1" x14ac:dyDescent="0.2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12.75" customHeight="1" x14ac:dyDescent="0.2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12.75" customHeight="1" x14ac:dyDescent="0.2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12.75" customHeight="1" x14ac:dyDescent="0.2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12.75" customHeight="1" x14ac:dyDescent="0.2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12.75" customHeight="1" x14ac:dyDescent="0.2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12.75" customHeight="1" x14ac:dyDescent="0.2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12.75" customHeight="1" x14ac:dyDescent="0.2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12.75" customHeight="1" x14ac:dyDescent="0.2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12.75" customHeight="1" x14ac:dyDescent="0.2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12.75" customHeight="1" x14ac:dyDescent="0.2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12.75" customHeight="1" x14ac:dyDescent="0.2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12.75" customHeight="1" x14ac:dyDescent="0.2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12.75" customHeight="1" x14ac:dyDescent="0.2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12.75" customHeight="1" x14ac:dyDescent="0.2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12.75" customHeight="1" x14ac:dyDescent="0.2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12.75" customHeight="1" x14ac:dyDescent="0.2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12.75" customHeight="1" x14ac:dyDescent="0.2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12.75" customHeight="1" x14ac:dyDescent="0.2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12.75" customHeight="1" x14ac:dyDescent="0.2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12.75" customHeight="1" x14ac:dyDescent="0.2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12.75" customHeight="1" x14ac:dyDescent="0.2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12.75" customHeight="1" x14ac:dyDescent="0.2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12.75" customHeight="1" x14ac:dyDescent="0.2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12.75" customHeight="1" x14ac:dyDescent="0.2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12.75" customHeight="1" x14ac:dyDescent="0.2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12.75" customHeight="1" x14ac:dyDescent="0.2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12.75" customHeight="1" x14ac:dyDescent="0.2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12.75" customHeight="1" x14ac:dyDescent="0.2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12.75" customHeight="1" x14ac:dyDescent="0.2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12.75" customHeight="1" x14ac:dyDescent="0.2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12.75" customHeight="1" x14ac:dyDescent="0.2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12.75" customHeight="1" x14ac:dyDescent="0.2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12.75" customHeight="1" x14ac:dyDescent="0.2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12.75" customHeight="1" x14ac:dyDescent="0.2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12.75" customHeight="1" x14ac:dyDescent="0.2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12.75" customHeight="1" x14ac:dyDescent="0.2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12.75" customHeight="1" x14ac:dyDescent="0.2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12.75" customHeight="1" x14ac:dyDescent="0.2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12.75" customHeight="1" x14ac:dyDescent="0.2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12.75" customHeight="1" x14ac:dyDescent="0.2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12.75" customHeight="1" x14ac:dyDescent="0.2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12.75" customHeight="1" x14ac:dyDescent="0.2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12.75" customHeight="1" x14ac:dyDescent="0.2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12.75" customHeight="1" x14ac:dyDescent="0.2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12.75" customHeight="1" x14ac:dyDescent="0.2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12.75" customHeight="1" x14ac:dyDescent="0.2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12.75" customHeight="1" x14ac:dyDescent="0.2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12.75" customHeight="1" x14ac:dyDescent="0.2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12.75" customHeight="1" x14ac:dyDescent="0.2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12.75" customHeight="1" x14ac:dyDescent="0.2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12.75" customHeight="1" x14ac:dyDescent="0.2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12.75" customHeight="1" x14ac:dyDescent="0.2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12.75" customHeight="1" x14ac:dyDescent="0.2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12.75" customHeight="1" x14ac:dyDescent="0.2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12.75" customHeight="1" x14ac:dyDescent="0.2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12.75" customHeight="1" x14ac:dyDescent="0.2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12.75" customHeight="1" x14ac:dyDescent="0.2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12.75" customHeight="1" x14ac:dyDescent="0.2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12.75" customHeight="1" x14ac:dyDescent="0.2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12.75" customHeight="1" x14ac:dyDescent="0.2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12.75" customHeight="1" x14ac:dyDescent="0.2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12.75" customHeight="1" x14ac:dyDescent="0.2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12.75" customHeight="1" x14ac:dyDescent="0.2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12.75" customHeight="1" x14ac:dyDescent="0.2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12.75" customHeight="1" x14ac:dyDescent="0.2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12.75" customHeight="1" x14ac:dyDescent="0.2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12.75" customHeight="1" x14ac:dyDescent="0.2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12.75" customHeight="1" x14ac:dyDescent="0.2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12.75" customHeight="1" x14ac:dyDescent="0.2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12.75" customHeight="1" x14ac:dyDescent="0.2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12.75" customHeight="1" x14ac:dyDescent="0.2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12.75" customHeight="1" x14ac:dyDescent="0.2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12.75" customHeight="1" x14ac:dyDescent="0.2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12.75" customHeight="1" x14ac:dyDescent="0.2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12.75" customHeight="1" x14ac:dyDescent="0.2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12.75" customHeight="1" x14ac:dyDescent="0.2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12.75" customHeight="1" x14ac:dyDescent="0.2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12.75" customHeight="1" x14ac:dyDescent="0.2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12.75" customHeight="1" x14ac:dyDescent="0.2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12.75" customHeight="1" x14ac:dyDescent="0.2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12.75" customHeight="1" x14ac:dyDescent="0.2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12.75" customHeight="1" x14ac:dyDescent="0.2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12.75" customHeight="1" x14ac:dyDescent="0.2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12.75" customHeight="1" x14ac:dyDescent="0.2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12.75" customHeight="1" x14ac:dyDescent="0.2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12.75" customHeight="1" x14ac:dyDescent="0.2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12.75" customHeight="1" x14ac:dyDescent="0.2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12.75" customHeight="1" x14ac:dyDescent="0.2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12.75" customHeight="1" x14ac:dyDescent="0.2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12.75" customHeight="1" x14ac:dyDescent="0.2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12.75" customHeight="1" x14ac:dyDescent="0.2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12.75" customHeight="1" x14ac:dyDescent="0.2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12.75" customHeight="1" x14ac:dyDescent="0.2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12.75" customHeight="1" x14ac:dyDescent="0.2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12.75" customHeight="1" x14ac:dyDescent="0.2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12.75" customHeight="1" x14ac:dyDescent="0.2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12.75" customHeight="1" x14ac:dyDescent="0.2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12.75" customHeight="1" x14ac:dyDescent="0.2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12.75" customHeight="1" x14ac:dyDescent="0.2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12.75" customHeight="1" x14ac:dyDescent="0.2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12.75" customHeight="1" x14ac:dyDescent="0.2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12.75" customHeight="1" x14ac:dyDescent="0.2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12.75" customHeight="1" x14ac:dyDescent="0.2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12.75" customHeight="1" x14ac:dyDescent="0.2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12.75" customHeight="1" x14ac:dyDescent="0.2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12.75" customHeight="1" x14ac:dyDescent="0.2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12.75" customHeight="1" x14ac:dyDescent="0.2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12.75" customHeight="1" x14ac:dyDescent="0.2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12.75" customHeight="1" x14ac:dyDescent="0.2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12.75" customHeight="1" x14ac:dyDescent="0.2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12.75" customHeight="1" x14ac:dyDescent="0.2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12.75" customHeight="1" x14ac:dyDescent="0.2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12.75" customHeight="1" x14ac:dyDescent="0.2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12.75" customHeight="1" x14ac:dyDescent="0.2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12.75" customHeight="1" x14ac:dyDescent="0.2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12.75" customHeight="1" x14ac:dyDescent="0.2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12.75" customHeight="1" x14ac:dyDescent="0.2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12.75" customHeight="1" x14ac:dyDescent="0.2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12.75" customHeight="1" x14ac:dyDescent="0.2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12.75" customHeight="1" x14ac:dyDescent="0.2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12.75" customHeight="1" x14ac:dyDescent="0.2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12.75" customHeight="1" x14ac:dyDescent="0.2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12.75" customHeight="1" x14ac:dyDescent="0.2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12.75" customHeight="1" x14ac:dyDescent="0.2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12.75" customHeight="1" x14ac:dyDescent="0.2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12.75" customHeight="1" x14ac:dyDescent="0.2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12.75" customHeight="1" x14ac:dyDescent="0.2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12.75" customHeight="1" x14ac:dyDescent="0.2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12.75" customHeight="1" x14ac:dyDescent="0.2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12.75" customHeight="1" x14ac:dyDescent="0.2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12.75" customHeight="1" x14ac:dyDescent="0.2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12.75" customHeight="1" x14ac:dyDescent="0.2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12.75" customHeight="1" x14ac:dyDescent="0.2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12.75" customHeight="1" x14ac:dyDescent="0.2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12.75" customHeight="1" x14ac:dyDescent="0.2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12.75" customHeight="1" x14ac:dyDescent="0.2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12.75" customHeight="1" x14ac:dyDescent="0.2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12.75" customHeight="1" x14ac:dyDescent="0.2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12.75" customHeight="1" x14ac:dyDescent="0.2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12.75" customHeight="1" x14ac:dyDescent="0.2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12.75" customHeight="1" x14ac:dyDescent="0.2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12.75" customHeight="1" x14ac:dyDescent="0.2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12.75" customHeight="1" x14ac:dyDescent="0.2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12.75" customHeight="1" x14ac:dyDescent="0.2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12.75" customHeight="1" x14ac:dyDescent="0.2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12.75" customHeight="1" x14ac:dyDescent="0.2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12.75" customHeight="1" x14ac:dyDescent="0.2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12.75" customHeight="1" x14ac:dyDescent="0.2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12.75" customHeight="1" x14ac:dyDescent="0.2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12.75" customHeight="1" x14ac:dyDescent="0.2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12.75" customHeight="1" x14ac:dyDescent="0.2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12.75" customHeight="1" x14ac:dyDescent="0.2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12.75" customHeight="1" x14ac:dyDescent="0.2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12.75" customHeight="1" x14ac:dyDescent="0.2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12.75" customHeight="1" x14ac:dyDescent="0.2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12.75" customHeight="1" x14ac:dyDescent="0.2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12.75" customHeight="1" x14ac:dyDescent="0.2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12.75" customHeight="1" x14ac:dyDescent="0.2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2">
    <mergeCell ref="B8:B10"/>
    <mergeCell ref="B12:B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selection activeCell="E18" sqref="E18"/>
    </sheetView>
  </sheetViews>
  <sheetFormatPr defaultColWidth="12.625" defaultRowHeight="15" customHeight="1" outlineLevelRow="1" outlineLevelCol="1" x14ac:dyDescent="0.2"/>
  <cols>
    <col min="1" max="3" width="8" customWidth="1"/>
    <col min="4" max="4" width="39.875" customWidth="1"/>
    <col min="5" max="5" width="12.125" customWidth="1"/>
    <col min="6" max="6" width="12.125" customWidth="1" outlineLevel="1"/>
    <col min="7" max="7" width="17" customWidth="1" outlineLevel="1"/>
    <col min="8" max="8" width="15.5" customWidth="1" outlineLevel="1"/>
    <col min="9" max="9" width="15.125" customWidth="1" outlineLevel="1"/>
    <col min="10" max="10" width="12.125" customWidth="1" outlineLevel="1"/>
    <col min="11" max="12" width="12.125" customWidth="1"/>
    <col min="13" max="17" width="12.125" customWidth="1" outlineLevel="1"/>
    <col min="18" max="20" width="12.125" customWidth="1"/>
    <col min="21" max="21" width="19.375" customWidth="1"/>
    <col min="22" max="26" width="14.625" customWidth="1"/>
    <col min="27" max="28" width="8" customWidth="1"/>
    <col min="29" max="16384" width="12.625" style="216"/>
  </cols>
  <sheetData>
    <row r="1" spans="1:28" ht="12.75" customHeight="1" x14ac:dyDescent="0.2">
      <c r="A1" s="81"/>
      <c r="B1" s="218"/>
      <c r="C1" s="218"/>
      <c r="D1" s="81" t="s">
        <v>105</v>
      </c>
      <c r="E1" s="81">
        <v>119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2.75" customHeight="1" x14ac:dyDescent="0.2">
      <c r="A2" s="81"/>
      <c r="B2" s="218"/>
      <c r="C2" s="218"/>
      <c r="D2" s="92" t="s">
        <v>120</v>
      </c>
      <c r="E2" s="93"/>
      <c r="F2" s="93"/>
      <c r="G2" s="93"/>
      <c r="H2" s="93"/>
      <c r="I2" s="93"/>
      <c r="J2" s="93"/>
      <c r="K2" s="93"/>
      <c r="L2" s="94"/>
      <c r="M2" s="94"/>
      <c r="N2" s="94"/>
      <c r="O2" s="94"/>
      <c r="P2" s="94"/>
      <c r="Q2" s="94"/>
      <c r="R2" s="94"/>
      <c r="S2" s="94"/>
      <c r="T2" s="94"/>
      <c r="U2" s="94" t="s">
        <v>121</v>
      </c>
      <c r="V2" s="81"/>
      <c r="W2" s="81"/>
      <c r="X2" s="81"/>
      <c r="Y2" s="81"/>
      <c r="Z2" s="81"/>
      <c r="AA2" s="81"/>
      <c r="AB2" s="81"/>
    </row>
    <row r="3" spans="1:28" ht="12.75" customHeight="1" x14ac:dyDescent="0.2">
      <c r="A3" s="81"/>
      <c r="B3" s="218"/>
      <c r="C3" s="218"/>
      <c r="D3" s="83" t="s">
        <v>122</v>
      </c>
      <c r="E3" s="91">
        <v>5122</v>
      </c>
      <c r="F3" s="91"/>
      <c r="G3" s="91"/>
      <c r="H3" s="91"/>
      <c r="I3" s="91"/>
      <c r="J3" s="91"/>
      <c r="K3" s="95"/>
      <c r="L3" s="83"/>
      <c r="M3" s="83"/>
      <c r="N3" s="83"/>
      <c r="O3" s="83"/>
      <c r="P3" s="83"/>
      <c r="Q3" s="83"/>
      <c r="R3" s="83"/>
      <c r="S3" s="83"/>
      <c r="T3" s="83"/>
      <c r="U3" s="83"/>
      <c r="V3" s="81"/>
      <c r="W3" s="81"/>
      <c r="X3" s="81"/>
      <c r="Y3" s="81"/>
      <c r="Z3" s="81"/>
      <c r="AA3" s="81"/>
      <c r="AB3" s="81"/>
    </row>
    <row r="4" spans="1:28" ht="12.75" customHeight="1" x14ac:dyDescent="0.2">
      <c r="A4" s="81"/>
      <c r="B4" s="218"/>
      <c r="C4" s="218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2.75" customHeight="1" x14ac:dyDescent="0.2">
      <c r="A5" s="81"/>
      <c r="B5" s="218"/>
      <c r="C5" s="218"/>
      <c r="D5" s="92" t="s">
        <v>123</v>
      </c>
      <c r="E5" s="93" t="s">
        <v>124</v>
      </c>
      <c r="F5" s="93"/>
      <c r="G5" s="93"/>
      <c r="H5" s="93"/>
      <c r="I5" s="93"/>
      <c r="J5" s="93"/>
      <c r="K5" s="93" t="s">
        <v>125</v>
      </c>
      <c r="L5" s="94"/>
      <c r="M5" s="94"/>
      <c r="N5" s="94"/>
      <c r="O5" s="94"/>
      <c r="P5" s="94"/>
      <c r="Q5" s="94"/>
      <c r="R5" s="94" t="s">
        <v>126</v>
      </c>
      <c r="S5" s="94"/>
      <c r="T5" s="94"/>
      <c r="U5" s="94" t="s">
        <v>121</v>
      </c>
      <c r="V5" s="81"/>
      <c r="W5" s="81"/>
      <c r="X5" s="81"/>
      <c r="Y5" s="81"/>
      <c r="Z5" s="81"/>
      <c r="AA5" s="81"/>
      <c r="AB5" s="81"/>
    </row>
    <row r="6" spans="1:28" ht="12.75" customHeight="1" x14ac:dyDescent="0.2">
      <c r="A6" s="81"/>
      <c r="B6" s="218"/>
      <c r="C6" s="218"/>
      <c r="D6" s="81" t="s">
        <v>127</v>
      </c>
      <c r="E6" s="87">
        <f>'JAS_Vyuctovani Ricany 2019'!B31/E1</f>
        <v>2397.7731092436975</v>
      </c>
      <c r="F6" s="87"/>
      <c r="G6" s="87"/>
      <c r="H6" s="87"/>
      <c r="I6" s="87"/>
      <c r="J6" s="87"/>
      <c r="K6" s="96">
        <f>E6/(1+R6)</f>
        <v>2085.0200949945197</v>
      </c>
      <c r="L6" s="81"/>
      <c r="M6" s="81"/>
      <c r="N6" s="81"/>
      <c r="O6" s="81"/>
      <c r="P6" s="81"/>
      <c r="Q6" s="81"/>
      <c r="R6" s="97">
        <v>0.15</v>
      </c>
      <c r="S6" s="97"/>
      <c r="T6" s="97"/>
      <c r="U6" s="81"/>
      <c r="V6" s="81"/>
      <c r="W6" s="81"/>
      <c r="X6" s="81"/>
      <c r="Y6" s="81"/>
      <c r="Z6" s="81"/>
      <c r="AA6" s="81"/>
      <c r="AB6" s="81"/>
    </row>
    <row r="7" spans="1:28" ht="12.75" customHeight="1" x14ac:dyDescent="0.2">
      <c r="A7" s="81"/>
      <c r="B7" s="218"/>
      <c r="C7" s="218"/>
      <c r="D7" s="81" t="s">
        <v>128</v>
      </c>
      <c r="E7" s="87">
        <f>'JAS_Vyuctovani Ricany 2019'!B32/E1</f>
        <v>281.47058823529414</v>
      </c>
      <c r="F7" s="87"/>
      <c r="G7" s="87"/>
      <c r="H7" s="87"/>
      <c r="I7" s="87"/>
      <c r="J7" s="87"/>
      <c r="K7" s="96">
        <f t="shared" ref="K7:K10" si="0">E7/(1+R7)</f>
        <v>232.62032085561501</v>
      </c>
      <c r="L7" s="81"/>
      <c r="M7" s="81"/>
      <c r="N7" s="81"/>
      <c r="O7" s="81"/>
      <c r="P7" s="81"/>
      <c r="Q7" s="81"/>
      <c r="R7" s="97">
        <v>0.21</v>
      </c>
      <c r="S7" s="97"/>
      <c r="T7" s="97"/>
      <c r="U7" s="81"/>
      <c r="V7" s="81"/>
      <c r="W7" s="81"/>
      <c r="X7" s="81"/>
      <c r="Y7" s="81"/>
      <c r="Z7" s="81"/>
      <c r="AA7" s="81"/>
      <c r="AB7" s="81"/>
    </row>
    <row r="8" spans="1:28" ht="12.75" customHeight="1" x14ac:dyDescent="0.2">
      <c r="A8" s="81"/>
      <c r="B8" s="218"/>
      <c r="C8" s="218"/>
      <c r="D8" s="81" t="s">
        <v>129</v>
      </c>
      <c r="E8" s="87">
        <f>'JAS_Vyuctovani Ricany 2019'!B10/E1</f>
        <v>557.89915966386559</v>
      </c>
      <c r="F8" s="87"/>
      <c r="G8" s="87"/>
      <c r="H8" s="87"/>
      <c r="I8" s="87"/>
      <c r="J8" s="87"/>
      <c r="K8" s="96">
        <f t="shared" si="0"/>
        <v>485.12970405553534</v>
      </c>
      <c r="L8" s="81"/>
      <c r="M8" s="81"/>
      <c r="N8" s="81"/>
      <c r="O8" s="81"/>
      <c r="P8" s="81"/>
      <c r="Q8" s="81"/>
      <c r="R8" s="97">
        <v>0.15</v>
      </c>
      <c r="S8" s="97"/>
      <c r="T8" s="97"/>
      <c r="U8" s="81"/>
      <c r="V8" s="81"/>
      <c r="W8" s="81"/>
      <c r="X8" s="81"/>
      <c r="Y8" s="81"/>
      <c r="Z8" s="81"/>
      <c r="AA8" s="81"/>
      <c r="AB8" s="81"/>
    </row>
    <row r="9" spans="1:28" ht="12.75" customHeight="1" x14ac:dyDescent="0.2">
      <c r="A9" s="81"/>
      <c r="B9" s="218"/>
      <c r="C9" s="218"/>
      <c r="D9" s="81" t="s">
        <v>130</v>
      </c>
      <c r="E9" s="87">
        <f>SUM('JAS_Vyuctovani Ricany 2019'!B15,'JAS_Vyuctovani Ricany 2019'!B21)/E1</f>
        <v>248.10084033613447</v>
      </c>
      <c r="F9" s="87"/>
      <c r="G9" s="87"/>
      <c r="H9" s="87"/>
      <c r="I9" s="87"/>
      <c r="J9" s="87"/>
      <c r="K9" s="96">
        <f t="shared" si="0"/>
        <v>205.0420168067227</v>
      </c>
      <c r="L9" s="81"/>
      <c r="M9" s="81"/>
      <c r="N9" s="81"/>
      <c r="O9" s="81"/>
      <c r="P9" s="81"/>
      <c r="Q9" s="81"/>
      <c r="R9" s="97">
        <v>0.21</v>
      </c>
      <c r="S9" s="97"/>
      <c r="T9" s="97"/>
      <c r="U9" s="81"/>
      <c r="V9" s="81"/>
      <c r="W9" s="81"/>
      <c r="X9" s="81"/>
      <c r="Y9" s="81"/>
      <c r="Z9" s="81"/>
      <c r="AA9" s="81"/>
      <c r="AB9" s="81"/>
    </row>
    <row r="10" spans="1:28" ht="12.75" customHeight="1" x14ac:dyDescent="0.2">
      <c r="A10" s="81"/>
      <c r="B10" s="218"/>
      <c r="C10" s="218"/>
      <c r="D10" s="88" t="s">
        <v>131</v>
      </c>
      <c r="E10" s="89">
        <f>'JAS_Vyuctovani Ricany 2019'!B27/E1</f>
        <v>16.890756302521009</v>
      </c>
      <c r="F10" s="89"/>
      <c r="G10" s="89"/>
      <c r="H10" s="89"/>
      <c r="I10" s="89"/>
      <c r="J10" s="89"/>
      <c r="K10" s="98">
        <f t="shared" si="0"/>
        <v>14.687614176105226</v>
      </c>
      <c r="L10" s="88"/>
      <c r="M10" s="88"/>
      <c r="N10" s="88"/>
      <c r="O10" s="88"/>
      <c r="P10" s="88"/>
      <c r="Q10" s="88"/>
      <c r="R10" s="99">
        <v>0.15</v>
      </c>
      <c r="S10" s="99"/>
      <c r="T10" s="99"/>
      <c r="U10" s="88"/>
      <c r="V10" s="81"/>
      <c r="W10" s="81"/>
      <c r="X10" s="81"/>
      <c r="Y10" s="81"/>
      <c r="Z10" s="81"/>
      <c r="AA10" s="81"/>
      <c r="AB10" s="81"/>
    </row>
    <row r="11" spans="1:28" ht="12.75" customHeight="1" x14ac:dyDescent="0.2">
      <c r="A11" s="81"/>
      <c r="B11" s="218"/>
      <c r="C11" s="218"/>
      <c r="D11" s="81" t="s">
        <v>77</v>
      </c>
      <c r="E11" s="87">
        <f>SUM(E6:E10)</f>
        <v>3502.1344537815125</v>
      </c>
      <c r="F11" s="87"/>
      <c r="G11" s="87"/>
      <c r="H11" s="87"/>
      <c r="I11" s="87"/>
      <c r="J11" s="87"/>
      <c r="K11" s="87">
        <f>SUM(K6:K10)</f>
        <v>3022.4997508884981</v>
      </c>
      <c r="L11" s="81"/>
      <c r="M11" s="81"/>
      <c r="N11" s="81"/>
      <c r="O11" s="81"/>
      <c r="P11" s="81"/>
      <c r="Q11" s="81"/>
      <c r="R11" s="97"/>
      <c r="S11" s="97"/>
      <c r="T11" s="97"/>
      <c r="U11" s="81"/>
      <c r="V11" s="81"/>
      <c r="W11" s="81"/>
      <c r="X11" s="81"/>
      <c r="Y11" s="81"/>
      <c r="Z11" s="81"/>
      <c r="AA11" s="81"/>
      <c r="AB11" s="81"/>
    </row>
    <row r="12" spans="1:28" ht="12.75" customHeight="1" x14ac:dyDescent="0.2">
      <c r="A12" s="81"/>
      <c r="B12" s="218"/>
      <c r="C12" s="218"/>
      <c r="D12" s="100"/>
      <c r="E12" s="101"/>
      <c r="F12" s="101"/>
      <c r="G12" s="101"/>
      <c r="H12" s="101"/>
      <c r="I12" s="101"/>
      <c r="J12" s="101"/>
      <c r="K12" s="101"/>
      <c r="L12" s="215"/>
      <c r="M12" s="100"/>
      <c r="N12" s="100"/>
      <c r="O12" s="100"/>
      <c r="P12" s="100"/>
      <c r="Q12" s="100"/>
      <c r="R12" s="99"/>
      <c r="S12" s="99"/>
      <c r="T12" s="99"/>
      <c r="U12" s="88"/>
      <c r="V12" s="81"/>
      <c r="W12" s="81"/>
      <c r="X12" s="81"/>
      <c r="Y12" s="81"/>
      <c r="Z12" s="81"/>
      <c r="AA12" s="81"/>
      <c r="AB12" s="81"/>
    </row>
    <row r="13" spans="1:28" ht="12.75" customHeight="1" x14ac:dyDescent="0.2">
      <c r="A13" s="81"/>
      <c r="B13" s="218"/>
      <c r="C13" s="218"/>
      <c r="D13" s="81"/>
      <c r="E13" s="87"/>
      <c r="F13" s="87"/>
      <c r="G13" s="87"/>
      <c r="H13" s="87"/>
      <c r="I13" s="87"/>
      <c r="J13" s="87"/>
      <c r="K13" s="102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2.75" customHeight="1" x14ac:dyDescent="0.2">
      <c r="A14" s="81"/>
      <c r="B14" s="218"/>
      <c r="C14" s="218"/>
      <c r="D14" s="92" t="s">
        <v>132</v>
      </c>
      <c r="E14" s="93" t="s">
        <v>124</v>
      </c>
      <c r="F14" s="93"/>
      <c r="G14" s="93"/>
      <c r="H14" s="93"/>
      <c r="I14" s="93"/>
      <c r="J14" s="93"/>
      <c r="K14" s="103" t="s">
        <v>125</v>
      </c>
      <c r="L14" s="94"/>
      <c r="M14" s="94"/>
      <c r="N14" s="94"/>
      <c r="O14" s="94"/>
      <c r="P14" s="94"/>
      <c r="Q14" s="94"/>
      <c r="R14" s="94" t="s">
        <v>126</v>
      </c>
      <c r="S14" s="94"/>
      <c r="T14" s="94"/>
      <c r="U14" s="94" t="s">
        <v>121</v>
      </c>
      <c r="V14" s="81"/>
      <c r="W14" s="81"/>
      <c r="X14" s="81"/>
      <c r="Y14" s="81"/>
      <c r="Z14" s="81"/>
      <c r="AA14" s="81"/>
      <c r="AB14" s="81"/>
    </row>
    <row r="15" spans="1:28" ht="12.75" customHeight="1" x14ac:dyDescent="0.2">
      <c r="A15" s="81"/>
      <c r="B15" s="218"/>
      <c r="C15" s="218"/>
      <c r="D15" s="81" t="s">
        <v>133</v>
      </c>
      <c r="E15" s="104">
        <f>K15*(1+R15)</f>
        <v>24200</v>
      </c>
      <c r="F15" s="104"/>
      <c r="G15" s="104"/>
      <c r="H15" s="104"/>
      <c r="I15" s="104"/>
      <c r="J15" s="104"/>
      <c r="K15" s="96">
        <v>20000</v>
      </c>
      <c r="L15" s="81"/>
      <c r="M15" s="81"/>
      <c r="N15" s="81"/>
      <c r="O15" s="81"/>
      <c r="P15" s="81"/>
      <c r="Q15" s="81"/>
      <c r="R15" s="97">
        <v>0.21</v>
      </c>
      <c r="S15" s="97"/>
      <c r="T15" s="97"/>
      <c r="U15" s="81"/>
      <c r="V15" s="81"/>
      <c r="W15" s="81"/>
      <c r="X15" s="81"/>
      <c r="Y15" s="81"/>
      <c r="Z15" s="81"/>
      <c r="AA15" s="81"/>
      <c r="AB15" s="81"/>
    </row>
    <row r="16" spans="1:28" ht="12.75" customHeight="1" x14ac:dyDescent="0.2">
      <c r="A16" s="81"/>
      <c r="B16" s="218"/>
      <c r="C16" s="218"/>
      <c r="D16" s="81" t="s">
        <v>134</v>
      </c>
      <c r="E16" s="104">
        <f t="shared" ref="E16:E23" si="1">K16*(1+R16)</f>
        <v>21780</v>
      </c>
      <c r="F16" s="104"/>
      <c r="G16" s="104"/>
      <c r="H16" s="104"/>
      <c r="I16" s="104"/>
      <c r="J16" s="104"/>
      <c r="K16" s="96">
        <v>18000</v>
      </c>
      <c r="L16" s="81"/>
      <c r="M16" s="81"/>
      <c r="N16" s="81"/>
      <c r="O16" s="81"/>
      <c r="P16" s="81"/>
      <c r="Q16" s="81"/>
      <c r="R16" s="97">
        <v>0.21</v>
      </c>
      <c r="S16" s="97"/>
      <c r="T16" s="97"/>
      <c r="U16" s="81"/>
      <c r="V16" s="81"/>
      <c r="W16" s="81"/>
      <c r="X16" s="81"/>
      <c r="Y16" s="81"/>
      <c r="Z16" s="81"/>
      <c r="AA16" s="81"/>
      <c r="AB16" s="81"/>
    </row>
    <row r="17" spans="1:28" ht="12.75" customHeight="1" x14ac:dyDescent="0.2">
      <c r="A17" s="81"/>
      <c r="B17" s="218"/>
      <c r="C17" s="218"/>
      <c r="D17" s="81" t="s">
        <v>135</v>
      </c>
      <c r="E17" s="104">
        <f t="shared" si="1"/>
        <v>7260</v>
      </c>
      <c r="F17" s="104"/>
      <c r="G17" s="104"/>
      <c r="H17" s="104"/>
      <c r="I17" s="104"/>
      <c r="J17" s="104"/>
      <c r="K17" s="96">
        <f>3000*2</f>
        <v>6000</v>
      </c>
      <c r="L17" s="81"/>
      <c r="M17" s="81"/>
      <c r="N17" s="81"/>
      <c r="O17" s="81"/>
      <c r="P17" s="81"/>
      <c r="Q17" s="81"/>
      <c r="R17" s="97">
        <v>0.21</v>
      </c>
      <c r="S17" s="97"/>
      <c r="T17" s="97"/>
      <c r="U17" s="81"/>
      <c r="V17" s="81"/>
      <c r="W17" s="81"/>
      <c r="X17" s="81"/>
      <c r="Y17" s="81"/>
      <c r="Z17" s="81"/>
      <c r="AA17" s="81"/>
      <c r="AB17" s="81"/>
    </row>
    <row r="18" spans="1:28" ht="12.75" customHeight="1" x14ac:dyDescent="0.2">
      <c r="A18" s="81"/>
      <c r="B18" s="218"/>
      <c r="C18" s="218"/>
      <c r="D18" s="81" t="s">
        <v>136</v>
      </c>
      <c r="E18" s="104">
        <f t="shared" si="1"/>
        <v>2178</v>
      </c>
      <c r="F18" s="104"/>
      <c r="G18" s="104"/>
      <c r="H18" s="104"/>
      <c r="I18" s="104"/>
      <c r="J18" s="104"/>
      <c r="K18" s="96">
        <v>1800</v>
      </c>
      <c r="L18" s="81"/>
      <c r="M18" s="81"/>
      <c r="N18" s="81"/>
      <c r="O18" s="81"/>
      <c r="P18" s="81"/>
      <c r="Q18" s="81"/>
      <c r="R18" s="97">
        <v>0.21</v>
      </c>
      <c r="S18" s="97"/>
      <c r="T18" s="97"/>
      <c r="U18" s="81"/>
      <c r="V18" s="81"/>
      <c r="W18" s="81"/>
      <c r="X18" s="81"/>
      <c r="Y18" s="81"/>
      <c r="Z18" s="81"/>
      <c r="AA18" s="81"/>
      <c r="AB18" s="81"/>
    </row>
    <row r="19" spans="1:28" ht="12.75" customHeight="1" x14ac:dyDescent="0.2">
      <c r="A19" s="81"/>
      <c r="B19" s="218"/>
      <c r="C19" s="218"/>
      <c r="D19" s="81" t="s">
        <v>137</v>
      </c>
      <c r="E19" s="104">
        <f t="shared" si="1"/>
        <v>2178</v>
      </c>
      <c r="F19" s="104"/>
      <c r="G19" s="104"/>
      <c r="H19" s="104"/>
      <c r="I19" s="104"/>
      <c r="J19" s="104"/>
      <c r="K19" s="96">
        <v>1800</v>
      </c>
      <c r="L19" s="81"/>
      <c r="M19" s="81"/>
      <c r="N19" s="81"/>
      <c r="O19" s="81"/>
      <c r="P19" s="81"/>
      <c r="Q19" s="81"/>
      <c r="R19" s="97">
        <v>0.21</v>
      </c>
      <c r="S19" s="97"/>
      <c r="T19" s="97"/>
      <c r="U19" s="81"/>
      <c r="V19" s="81"/>
      <c r="W19" s="81"/>
      <c r="X19" s="81"/>
      <c r="Y19" s="81"/>
      <c r="Z19" s="81"/>
      <c r="AA19" s="81"/>
      <c r="AB19" s="81"/>
    </row>
    <row r="20" spans="1:28" ht="12.75" customHeight="1" x14ac:dyDescent="0.2">
      <c r="A20" s="81"/>
      <c r="B20" s="218"/>
      <c r="C20" s="218"/>
      <c r="D20" s="81" t="s">
        <v>138</v>
      </c>
      <c r="E20" s="104">
        <f t="shared" si="1"/>
        <v>3509</v>
      </c>
      <c r="F20" s="104"/>
      <c r="G20" s="104"/>
      <c r="H20" s="104"/>
      <c r="I20" s="104"/>
      <c r="J20" s="104"/>
      <c r="K20" s="96">
        <v>2900</v>
      </c>
      <c r="L20" s="81"/>
      <c r="M20" s="81"/>
      <c r="N20" s="81"/>
      <c r="O20" s="81"/>
      <c r="P20" s="81"/>
      <c r="Q20" s="81"/>
      <c r="R20" s="97">
        <v>0.21</v>
      </c>
      <c r="S20" s="97"/>
      <c r="T20" s="97"/>
      <c r="U20" s="81"/>
      <c r="V20" s="81"/>
      <c r="W20" s="81"/>
      <c r="X20" s="81"/>
      <c r="Y20" s="81"/>
      <c r="Z20" s="81"/>
      <c r="AA20" s="81"/>
      <c r="AB20" s="81"/>
    </row>
    <row r="21" spans="1:28" ht="12.75" customHeight="1" x14ac:dyDescent="0.2">
      <c r="A21" s="81"/>
      <c r="B21" s="218"/>
      <c r="C21" s="218"/>
      <c r="D21" s="81" t="s">
        <v>139</v>
      </c>
      <c r="E21" s="104">
        <f t="shared" si="1"/>
        <v>3509</v>
      </c>
      <c r="F21" s="104"/>
      <c r="G21" s="104"/>
      <c r="H21" s="104"/>
      <c r="I21" s="104"/>
      <c r="J21" s="104"/>
      <c r="K21" s="96">
        <v>2900</v>
      </c>
      <c r="L21" s="81"/>
      <c r="M21" s="81"/>
      <c r="N21" s="81"/>
      <c r="O21" s="81"/>
      <c r="P21" s="81"/>
      <c r="Q21" s="81"/>
      <c r="R21" s="97">
        <v>0.21</v>
      </c>
      <c r="S21" s="97"/>
      <c r="T21" s="97"/>
      <c r="U21" s="81"/>
      <c r="V21" s="81"/>
      <c r="W21" s="81"/>
      <c r="X21" s="81"/>
      <c r="Y21" s="81"/>
      <c r="Z21" s="81"/>
      <c r="AA21" s="81"/>
      <c r="AB21" s="81"/>
    </row>
    <row r="22" spans="1:28" ht="12.75" customHeight="1" x14ac:dyDescent="0.2">
      <c r="A22" s="81"/>
      <c r="B22" s="218"/>
      <c r="C22" s="218"/>
      <c r="D22" s="81" t="s">
        <v>140</v>
      </c>
      <c r="E22" s="104">
        <f t="shared" si="1"/>
        <v>0</v>
      </c>
      <c r="F22" s="104"/>
      <c r="G22" s="104"/>
      <c r="H22" s="104"/>
      <c r="I22" s="104"/>
      <c r="J22" s="104"/>
      <c r="K22" s="96">
        <v>0</v>
      </c>
      <c r="L22" s="81"/>
      <c r="M22" s="81"/>
      <c r="N22" s="81"/>
      <c r="O22" s="81"/>
      <c r="P22" s="81"/>
      <c r="Q22" s="81"/>
      <c r="R22" s="97">
        <v>0.21</v>
      </c>
      <c r="S22" s="97"/>
      <c r="T22" s="97"/>
      <c r="U22" s="81" t="s">
        <v>141</v>
      </c>
      <c r="V22" s="81"/>
      <c r="W22" s="81"/>
      <c r="X22" s="81"/>
      <c r="Y22" s="81"/>
      <c r="Z22" s="81"/>
      <c r="AA22" s="81"/>
      <c r="AB22" s="81"/>
    </row>
    <row r="23" spans="1:28" ht="12.75" customHeight="1" x14ac:dyDescent="0.2">
      <c r="A23" s="81"/>
      <c r="B23" s="218"/>
      <c r="C23" s="218"/>
      <c r="D23" s="81" t="s">
        <v>142</v>
      </c>
      <c r="E23" s="104">
        <f t="shared" si="1"/>
        <v>21175</v>
      </c>
      <c r="F23" s="104"/>
      <c r="G23" s="104"/>
      <c r="H23" s="104"/>
      <c r="I23" s="104"/>
      <c r="J23" s="104"/>
      <c r="K23" s="96">
        <v>17500</v>
      </c>
      <c r="L23" s="81"/>
      <c r="M23" s="81"/>
      <c r="N23" s="81"/>
      <c r="O23" s="81"/>
      <c r="P23" s="81"/>
      <c r="Q23" s="81"/>
      <c r="R23" s="97">
        <v>0.21</v>
      </c>
      <c r="S23" s="97"/>
      <c r="T23" s="97"/>
      <c r="U23" s="81"/>
      <c r="V23" s="81"/>
      <c r="W23" s="81"/>
      <c r="X23" s="81"/>
      <c r="Y23" s="81"/>
      <c r="Z23" s="81"/>
      <c r="AA23" s="81"/>
      <c r="AB23" s="81"/>
    </row>
    <row r="24" spans="1:28" ht="12.75" customHeight="1" x14ac:dyDescent="0.2">
      <c r="A24" s="81"/>
      <c r="B24" s="218"/>
      <c r="C24" s="218"/>
      <c r="D24" s="88" t="s">
        <v>143</v>
      </c>
      <c r="E24" s="105">
        <v>700</v>
      </c>
      <c r="F24" s="105"/>
      <c r="G24" s="105"/>
      <c r="H24" s="105"/>
      <c r="I24" s="105"/>
      <c r="J24" s="105"/>
      <c r="K24" s="98">
        <f>E24/(1+R24)</f>
        <v>578.51239669421489</v>
      </c>
      <c r="L24" s="88"/>
      <c r="M24" s="88"/>
      <c r="N24" s="88"/>
      <c r="O24" s="88"/>
      <c r="P24" s="88"/>
      <c r="Q24" s="88"/>
      <c r="R24" s="99">
        <v>0.21</v>
      </c>
      <c r="S24" s="99"/>
      <c r="T24" s="99"/>
      <c r="U24" s="88"/>
      <c r="V24" s="81"/>
      <c r="W24" s="81"/>
      <c r="X24" s="81"/>
      <c r="Y24" s="81"/>
      <c r="Z24" s="81"/>
      <c r="AA24" s="81"/>
      <c r="AB24" s="81"/>
    </row>
    <row r="25" spans="1:28" ht="12.75" customHeight="1" x14ac:dyDescent="0.2">
      <c r="A25" s="81"/>
      <c r="B25" s="218"/>
      <c r="C25" s="218"/>
      <c r="D25" s="81"/>
      <c r="E25" s="87"/>
      <c r="F25" s="87"/>
      <c r="G25" s="87"/>
      <c r="H25" s="87"/>
      <c r="I25" s="87"/>
      <c r="J25" s="87"/>
      <c r="K25" s="81"/>
      <c r="L25" s="81"/>
      <c r="M25" s="81"/>
      <c r="N25" s="81"/>
      <c r="O25" s="81"/>
      <c r="P25" s="81"/>
      <c r="Q25" s="81"/>
      <c r="R25" s="97"/>
      <c r="S25" s="97"/>
      <c r="T25" s="97"/>
      <c r="U25" s="81"/>
      <c r="V25" s="81"/>
      <c r="W25" s="81"/>
      <c r="X25" s="81"/>
      <c r="Y25" s="81"/>
      <c r="Z25" s="81"/>
      <c r="AA25" s="81"/>
      <c r="AB25" s="81"/>
    </row>
    <row r="26" spans="1:28" ht="12.75" customHeight="1" x14ac:dyDescent="0.2">
      <c r="A26" s="81"/>
      <c r="B26" s="218"/>
      <c r="C26" s="218"/>
      <c r="D26" s="92" t="s">
        <v>144</v>
      </c>
      <c r="E26" s="103" t="s">
        <v>124</v>
      </c>
      <c r="F26" s="103"/>
      <c r="G26" s="103"/>
      <c r="H26" s="103"/>
      <c r="I26" s="103"/>
      <c r="J26" s="103"/>
      <c r="K26" s="103" t="s">
        <v>125</v>
      </c>
      <c r="L26" s="94"/>
      <c r="M26" s="94"/>
      <c r="N26" s="94"/>
      <c r="O26" s="94"/>
      <c r="P26" s="94"/>
      <c r="Q26" s="94"/>
      <c r="R26" s="94" t="s">
        <v>126</v>
      </c>
      <c r="S26" s="106"/>
      <c r="T26" s="106"/>
      <c r="U26" s="81"/>
      <c r="V26" s="81"/>
      <c r="W26" s="81"/>
      <c r="X26" s="81"/>
      <c r="Y26" s="81"/>
      <c r="Z26" s="81"/>
      <c r="AA26" s="81"/>
      <c r="AB26" s="81"/>
    </row>
    <row r="27" spans="1:28" ht="12.75" customHeight="1" x14ac:dyDescent="0.2">
      <c r="A27" s="81"/>
      <c r="B27" s="218"/>
      <c r="C27" s="218"/>
      <c r="D27" s="107" t="s">
        <v>145</v>
      </c>
      <c r="E27" s="104">
        <v>100</v>
      </c>
      <c r="F27" s="104"/>
      <c r="G27" s="104"/>
      <c r="H27" s="104"/>
      <c r="I27" s="104"/>
      <c r="J27" s="104"/>
      <c r="K27" s="96">
        <f>E27/(1+R27)</f>
        <v>86.956521739130437</v>
      </c>
      <c r="L27" s="81"/>
      <c r="M27" s="81"/>
      <c r="N27" s="81"/>
      <c r="O27" s="81"/>
      <c r="P27" s="81"/>
      <c r="Q27" s="81"/>
      <c r="R27" s="97">
        <v>0.15</v>
      </c>
      <c r="S27" s="97"/>
      <c r="T27" s="97"/>
      <c r="U27" s="81" t="s">
        <v>146</v>
      </c>
      <c r="V27" s="81"/>
      <c r="W27" s="81"/>
      <c r="X27" s="81"/>
      <c r="Y27" s="81"/>
      <c r="Z27" s="81"/>
      <c r="AA27" s="81"/>
      <c r="AB27" s="81"/>
    </row>
    <row r="28" spans="1:28" ht="12.75" customHeight="1" x14ac:dyDescent="0.2">
      <c r="A28" s="81"/>
      <c r="B28" s="218"/>
      <c r="C28" s="218"/>
      <c r="D28" s="107" t="s">
        <v>147</v>
      </c>
      <c r="E28" s="87">
        <f t="shared" ref="E28:E31" si="2">K28*(1+R28)</f>
        <v>2397.7731092436975</v>
      </c>
      <c r="F28" s="87"/>
      <c r="G28" s="87"/>
      <c r="H28" s="87"/>
      <c r="I28" s="87"/>
      <c r="J28" s="87"/>
      <c r="K28" s="96">
        <f t="shared" ref="K28:K29" si="3">K6</f>
        <v>2085.0200949945197</v>
      </c>
      <c r="L28" s="81"/>
      <c r="M28" s="81"/>
      <c r="N28" s="81"/>
      <c r="O28" s="81"/>
      <c r="P28" s="81"/>
      <c r="Q28" s="81"/>
      <c r="R28" s="97">
        <v>0.15</v>
      </c>
      <c r="S28" s="97"/>
      <c r="T28" s="97"/>
      <c r="U28" s="81"/>
      <c r="V28" s="81"/>
      <c r="W28" s="81"/>
      <c r="X28" s="81"/>
      <c r="Y28" s="81"/>
      <c r="Z28" s="81"/>
      <c r="AA28" s="81"/>
      <c r="AB28" s="81"/>
    </row>
    <row r="29" spans="1:28" ht="12.75" customHeight="1" x14ac:dyDescent="0.2">
      <c r="A29" s="81"/>
      <c r="B29" s="218"/>
      <c r="C29" s="218"/>
      <c r="D29" s="107" t="s">
        <v>148</v>
      </c>
      <c r="E29" s="87">
        <f t="shared" si="2"/>
        <v>281.47058823529414</v>
      </c>
      <c r="F29" s="87"/>
      <c r="G29" s="87"/>
      <c r="H29" s="87"/>
      <c r="I29" s="87"/>
      <c r="J29" s="87"/>
      <c r="K29" s="96">
        <f t="shared" si="3"/>
        <v>232.62032085561501</v>
      </c>
      <c r="L29" s="81"/>
      <c r="M29" s="81"/>
      <c r="N29" s="81"/>
      <c r="O29" s="81"/>
      <c r="P29" s="81"/>
      <c r="Q29" s="81"/>
      <c r="R29" s="97">
        <v>0.21</v>
      </c>
      <c r="S29" s="97"/>
      <c r="T29" s="97"/>
      <c r="U29" s="81"/>
      <c r="V29" s="81"/>
      <c r="W29" s="81"/>
      <c r="X29" s="81"/>
      <c r="Y29" s="81"/>
      <c r="Z29" s="81"/>
      <c r="AA29" s="81"/>
      <c r="AB29" s="81"/>
    </row>
    <row r="30" spans="1:28" ht="12.75" customHeight="1" x14ac:dyDescent="0.2">
      <c r="A30" s="81"/>
      <c r="B30" s="218"/>
      <c r="C30" s="218"/>
      <c r="D30" s="107" t="s">
        <v>149</v>
      </c>
      <c r="E30" s="104">
        <f t="shared" si="2"/>
        <v>18400</v>
      </c>
      <c r="F30" s="104"/>
      <c r="G30" s="104"/>
      <c r="H30" s="104"/>
      <c r="I30" s="104"/>
      <c r="J30" s="104"/>
      <c r="K30" s="96">
        <v>16000</v>
      </c>
      <c r="L30" s="81"/>
      <c r="M30" s="81"/>
      <c r="N30" s="81"/>
      <c r="O30" s="81"/>
      <c r="P30" s="81"/>
      <c r="Q30" s="81"/>
      <c r="R30" s="97">
        <v>0.15</v>
      </c>
      <c r="S30" s="97"/>
      <c r="T30" s="97"/>
      <c r="U30" s="81"/>
      <c r="V30" s="81"/>
      <c r="W30" s="81"/>
      <c r="X30" s="81"/>
      <c r="Y30" s="81"/>
      <c r="Z30" s="81"/>
      <c r="AA30" s="81"/>
      <c r="AB30" s="81"/>
    </row>
    <row r="31" spans="1:28" ht="12.75" customHeight="1" x14ac:dyDescent="0.2">
      <c r="A31" s="81"/>
      <c r="B31" s="218"/>
      <c r="C31" s="218"/>
      <c r="D31" s="108" t="s">
        <v>150</v>
      </c>
      <c r="E31" s="89">
        <f t="shared" si="2"/>
        <v>1520.001</v>
      </c>
      <c r="F31" s="89"/>
      <c r="G31" s="89"/>
      <c r="H31" s="89"/>
      <c r="I31" s="89"/>
      <c r="J31" s="89"/>
      <c r="K31" s="89">
        <v>1321.74</v>
      </c>
      <c r="L31" s="88"/>
      <c r="M31" s="88"/>
      <c r="N31" s="88"/>
      <c r="O31" s="88"/>
      <c r="P31" s="88"/>
      <c r="Q31" s="88"/>
      <c r="R31" s="99">
        <v>0.15</v>
      </c>
      <c r="S31" s="99"/>
      <c r="T31" s="99"/>
      <c r="U31" s="88"/>
      <c r="V31" s="81"/>
      <c r="W31" s="81"/>
      <c r="X31" s="81"/>
      <c r="Y31" s="81"/>
      <c r="Z31" s="81"/>
      <c r="AA31" s="81"/>
      <c r="AB31" s="81"/>
    </row>
    <row r="32" spans="1:28" ht="12.75" customHeight="1" x14ac:dyDescent="0.2">
      <c r="A32" s="81"/>
      <c r="B32" s="218"/>
      <c r="C32" s="21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2.75" customHeight="1" x14ac:dyDescent="0.2">
      <c r="A33" s="81"/>
      <c r="B33" s="218"/>
      <c r="C33" s="218"/>
      <c r="D33" s="82" t="s">
        <v>151</v>
      </c>
      <c r="E33" s="88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2.75" customHeight="1" x14ac:dyDescent="0.25">
      <c r="A34" s="81"/>
      <c r="B34" s="218"/>
      <c r="C34" s="218"/>
      <c r="D34" s="81" t="s">
        <v>152</v>
      </c>
      <c r="E34" s="97">
        <v>0.5</v>
      </c>
      <c r="F34" s="97"/>
      <c r="G34" s="97"/>
      <c r="H34" s="97"/>
      <c r="I34" s="97"/>
      <c r="J34" s="97"/>
      <c r="K34" s="81"/>
      <c r="L34" s="109"/>
      <c r="M34" s="81"/>
      <c r="N34" s="81"/>
      <c r="O34" s="81"/>
      <c r="P34" s="81"/>
      <c r="Q34" s="81"/>
      <c r="R34" s="81"/>
      <c r="S34" s="85" t="s">
        <v>153</v>
      </c>
      <c r="T34" s="85" t="s">
        <v>154</v>
      </c>
      <c r="U34" s="81"/>
      <c r="V34" s="81"/>
      <c r="W34" s="81"/>
      <c r="X34" s="81"/>
      <c r="Y34" s="81"/>
      <c r="Z34" s="81"/>
      <c r="AA34" s="81"/>
      <c r="AB34" s="81"/>
    </row>
    <row r="35" spans="1:28" ht="25.5" customHeight="1" x14ac:dyDescent="0.25">
      <c r="A35" s="81"/>
      <c r="B35" s="218"/>
      <c r="C35" s="218"/>
      <c r="D35" s="81"/>
      <c r="E35" s="87"/>
      <c r="F35" s="87"/>
      <c r="G35" s="87"/>
      <c r="H35" s="87"/>
      <c r="I35" s="87"/>
      <c r="J35" s="87"/>
      <c r="K35" s="110"/>
      <c r="L35" s="109"/>
      <c r="M35" s="97"/>
      <c r="N35" s="81"/>
      <c r="O35" s="81"/>
      <c r="P35" s="81"/>
      <c r="Q35" s="81"/>
      <c r="R35" s="81"/>
      <c r="S35" s="111">
        <f>V80</f>
        <v>5917.4757281553402</v>
      </c>
      <c r="T35" s="112">
        <f>'JAS_Shrnuti 2020'!D4</f>
        <v>800</v>
      </c>
      <c r="U35" s="81"/>
      <c r="V35" s="202" t="s">
        <v>155</v>
      </c>
      <c r="W35" s="203"/>
      <c r="X35" s="203"/>
      <c r="Y35" s="199"/>
      <c r="Z35" s="81"/>
      <c r="AA35" s="81"/>
      <c r="AB35" s="81"/>
    </row>
    <row r="36" spans="1:28" ht="63.75" x14ac:dyDescent="0.2">
      <c r="A36" s="119" t="s">
        <v>105</v>
      </c>
      <c r="B36" s="119" t="s">
        <v>167</v>
      </c>
      <c r="C36" s="119" t="s">
        <v>168</v>
      </c>
      <c r="D36" s="114" t="s">
        <v>156</v>
      </c>
      <c r="E36" s="115" t="s">
        <v>157</v>
      </c>
      <c r="F36" s="116" t="s">
        <v>158</v>
      </c>
      <c r="G36" s="116" t="s">
        <v>143</v>
      </c>
      <c r="H36" s="116" t="s">
        <v>159</v>
      </c>
      <c r="I36" s="116" t="s">
        <v>160</v>
      </c>
      <c r="J36" s="116" t="s">
        <v>161</v>
      </c>
      <c r="K36" s="117" t="s">
        <v>162</v>
      </c>
      <c r="L36" s="115" t="s">
        <v>163</v>
      </c>
      <c r="M36" s="116" t="s">
        <v>158</v>
      </c>
      <c r="N36" s="116" t="s">
        <v>143</v>
      </c>
      <c r="O36" s="116" t="s">
        <v>159</v>
      </c>
      <c r="P36" s="116" t="s">
        <v>160</v>
      </c>
      <c r="Q36" s="116" t="s">
        <v>161</v>
      </c>
      <c r="R36" s="117" t="s">
        <v>164</v>
      </c>
      <c r="S36" s="118" t="s">
        <v>165</v>
      </c>
      <c r="T36" s="118" t="s">
        <v>166</v>
      </c>
      <c r="U36" s="113"/>
      <c r="V36" s="117" t="s">
        <v>169</v>
      </c>
      <c r="W36" s="117" t="s">
        <v>170</v>
      </c>
      <c r="X36" s="117" t="s">
        <v>171</v>
      </c>
      <c r="Y36" s="117" t="s">
        <v>172</v>
      </c>
      <c r="Z36" s="117" t="s">
        <v>173</v>
      </c>
      <c r="AA36" s="113"/>
      <c r="AB36" s="120" t="s">
        <v>174</v>
      </c>
    </row>
    <row r="37" spans="1:28" ht="12.75" customHeight="1" x14ac:dyDescent="0.25">
      <c r="A37" s="121">
        <v>60</v>
      </c>
      <c r="B37" s="124">
        <f>_xlfn.CEILING.MATH((A37-30)/2,1)</f>
        <v>15</v>
      </c>
      <c r="C37" s="125">
        <f>ROUND(A37*$E$34,0)</f>
        <v>30</v>
      </c>
      <c r="D37" s="81" t="str">
        <f t="shared" ref="D37:D77" si="4">A37&amp;" osob"</f>
        <v>60 osob</v>
      </c>
      <c r="E37" s="104">
        <f>SUM(F37:J37)</f>
        <v>291443.63684873952</v>
      </c>
      <c r="F37" s="122">
        <f>SUM($E$15:$E$24)</f>
        <v>86489</v>
      </c>
      <c r="G37" s="122">
        <f>$C37*$E$27</f>
        <v>3000</v>
      </c>
      <c r="H37" s="122">
        <f t="shared" ref="H37:H78" si="5">$A37*$E$28</f>
        <v>143866.38655462186</v>
      </c>
      <c r="I37" s="122">
        <f t="shared" ref="I37:I78" si="6">$A37*$E$29</f>
        <v>16888.23529411765</v>
      </c>
      <c r="J37" s="122">
        <f>$E$30+$B37*$E$31</f>
        <v>41200.014999999999</v>
      </c>
      <c r="K37" s="87">
        <f t="shared" ref="K37:K78" si="7">E37/$A37</f>
        <v>4857.3939474789922</v>
      </c>
      <c r="L37" s="87">
        <f t="shared" ref="L37:L78" si="8">SUM(M37:Q37)</f>
        <v>248971.73299987623</v>
      </c>
      <c r="M37" s="122">
        <f t="shared" ref="M37:M78" si="9">SUM($K$15:$K$24)</f>
        <v>71478.512396694219</v>
      </c>
      <c r="N37" s="122">
        <f>$C37*$K$27</f>
        <v>2608.695652173913</v>
      </c>
      <c r="O37" s="122">
        <f t="shared" ref="O37:O78" si="10">$A37*$K$28</f>
        <v>125101.20569967118</v>
      </c>
      <c r="P37" s="122">
        <f t="shared" ref="P37:P78" si="11">$A37*$K$29</f>
        <v>13957.219251336901</v>
      </c>
      <c r="Q37" s="122">
        <f>$K$30+$B37*$K$31</f>
        <v>35826.1</v>
      </c>
      <c r="R37" s="87">
        <f t="shared" ref="R37:R78" si="12">L37/$A37</f>
        <v>4149.5288833312707</v>
      </c>
      <c r="S37" s="111">
        <f>S$35*($A37-V91-W91)</f>
        <v>248533.98058252429</v>
      </c>
      <c r="T37" s="111">
        <f>(T$35+S$35)*($A37-V91-W91)</f>
        <v>282133.98058252427</v>
      </c>
      <c r="U37" s="123"/>
      <c r="V37" s="87">
        <f t="shared" ref="V37:Y37" si="13">V78+$V$87</f>
        <v>6800</v>
      </c>
      <c r="W37" s="87">
        <f t="shared" si="13"/>
        <v>6300</v>
      </c>
      <c r="X37" s="87">
        <f t="shared" si="13"/>
        <v>7800</v>
      </c>
      <c r="Y37" s="87">
        <f t="shared" si="13"/>
        <v>7300</v>
      </c>
      <c r="Z37" s="87"/>
      <c r="AA37" s="81"/>
      <c r="AB37" s="81"/>
    </row>
    <row r="38" spans="1:28" ht="12.75" hidden="1" customHeight="1" outlineLevel="1" x14ac:dyDescent="0.25">
      <c r="A38" s="121">
        <f t="shared" ref="A38:A77" si="14">A37+1</f>
        <v>61</v>
      </c>
      <c r="B38" s="124">
        <f>_xlfn.CEILING.MATH((A38-30)/2,1)</f>
        <v>16</v>
      </c>
      <c r="C38" s="124">
        <f>ROUND(A38*$E$34,0)</f>
        <v>31</v>
      </c>
      <c r="D38" s="81" t="str">
        <f t="shared" si="4"/>
        <v>61 osob</v>
      </c>
      <c r="E38" s="104">
        <f t="shared" ref="E38:E78" si="15">SUM(F38:J38)</f>
        <v>295742.88154621853</v>
      </c>
      <c r="F38" s="122">
        <f>SUM($E$15:$E$24)</f>
        <v>86489</v>
      </c>
      <c r="G38" s="122">
        <f>$C38*$E$27</f>
        <v>3100</v>
      </c>
      <c r="H38" s="122">
        <f t="shared" si="5"/>
        <v>146264.15966386555</v>
      </c>
      <c r="I38" s="122">
        <f t="shared" si="6"/>
        <v>17169.705882352944</v>
      </c>
      <c r="J38" s="122">
        <f>$E$30+$B38*$E$31</f>
        <v>42720.016000000003</v>
      </c>
      <c r="K38" s="87">
        <f t="shared" si="7"/>
        <v>4848.243959774074</v>
      </c>
      <c r="L38" s="87">
        <f t="shared" si="8"/>
        <v>252698.06993746548</v>
      </c>
      <c r="M38" s="122">
        <f t="shared" si="9"/>
        <v>71478.512396694219</v>
      </c>
      <c r="N38" s="122">
        <f>$C38*$K$27</f>
        <v>2695.6521739130435</v>
      </c>
      <c r="O38" s="122">
        <f t="shared" si="10"/>
        <v>127186.2257946657</v>
      </c>
      <c r="P38" s="122">
        <f t="shared" si="11"/>
        <v>14189.839572192515</v>
      </c>
      <c r="Q38" s="122">
        <f>$K$30+$B38*$K$31</f>
        <v>37147.839999999997</v>
      </c>
      <c r="R38" s="87">
        <f t="shared" si="12"/>
        <v>4142.5913104502533</v>
      </c>
      <c r="S38" s="111"/>
      <c r="T38" s="111"/>
      <c r="U38" s="123"/>
      <c r="V38" s="87"/>
      <c r="W38" s="87"/>
      <c r="X38" s="87"/>
      <c r="Y38" s="87"/>
      <c r="Z38" s="87"/>
      <c r="AA38" s="81"/>
      <c r="AB38" s="81"/>
    </row>
    <row r="39" spans="1:28" ht="12.75" hidden="1" customHeight="1" outlineLevel="1" x14ac:dyDescent="0.25">
      <c r="A39" s="121">
        <f t="shared" si="14"/>
        <v>62</v>
      </c>
      <c r="B39" s="124">
        <f>_xlfn.CEILING.MATH((A39-30)/2,1)</f>
        <v>16</v>
      </c>
      <c r="C39" s="124">
        <f>ROUND(A39*$E$34,0)</f>
        <v>31</v>
      </c>
      <c r="D39" s="81" t="str">
        <f t="shared" si="4"/>
        <v>62 osob</v>
      </c>
      <c r="E39" s="104">
        <f t="shared" si="15"/>
        <v>298422.12524369749</v>
      </c>
      <c r="F39" s="122">
        <f>SUM($E$15:$E$24)</f>
        <v>86489</v>
      </c>
      <c r="G39" s="122">
        <f>$C39*$E$27</f>
        <v>3100</v>
      </c>
      <c r="H39" s="122">
        <f t="shared" si="5"/>
        <v>148661.93277310923</v>
      </c>
      <c r="I39" s="122">
        <f t="shared" si="6"/>
        <v>17451.176470588238</v>
      </c>
      <c r="J39" s="122">
        <f>$E$30+$B39*$E$31</f>
        <v>42720.016000000003</v>
      </c>
      <c r="K39" s="87">
        <f t="shared" si="7"/>
        <v>4813.2600845757661</v>
      </c>
      <c r="L39" s="87">
        <f t="shared" si="8"/>
        <v>255015.7103533156</v>
      </c>
      <c r="M39" s="122">
        <f t="shared" si="9"/>
        <v>71478.512396694219</v>
      </c>
      <c r="N39" s="122">
        <f>$C39*$K$27</f>
        <v>2695.6521739130435</v>
      </c>
      <c r="O39" s="122">
        <f t="shared" si="10"/>
        <v>129271.24588966022</v>
      </c>
      <c r="P39" s="122">
        <f t="shared" si="11"/>
        <v>14422.45989304813</v>
      </c>
      <c r="Q39" s="122">
        <f>$K$30+$B39*$K$31</f>
        <v>37147.839999999997</v>
      </c>
      <c r="R39" s="87">
        <f t="shared" si="12"/>
        <v>4113.1566186018645</v>
      </c>
      <c r="S39" s="111"/>
      <c r="T39" s="111"/>
      <c r="U39" s="123"/>
      <c r="V39" s="87"/>
      <c r="W39" s="87"/>
      <c r="X39" s="87"/>
      <c r="Y39" s="87"/>
      <c r="Z39" s="87"/>
      <c r="AA39" s="81"/>
      <c r="AB39" s="81"/>
    </row>
    <row r="40" spans="1:28" ht="12.75" hidden="1" customHeight="1" outlineLevel="1" x14ac:dyDescent="0.25">
      <c r="A40" s="121">
        <f t="shared" si="14"/>
        <v>63</v>
      </c>
      <c r="B40" s="124">
        <f>_xlfn.CEILING.MATH((A40-30)/2,1)</f>
        <v>17</v>
      </c>
      <c r="C40" s="124">
        <f>ROUND(A40*$E$34,0)</f>
        <v>32</v>
      </c>
      <c r="D40" s="81" t="str">
        <f t="shared" si="4"/>
        <v>63 osob</v>
      </c>
      <c r="E40" s="104">
        <f t="shared" si="15"/>
        <v>302721.3699411765</v>
      </c>
      <c r="F40" s="122">
        <f>SUM($E$15:$E$24)</f>
        <v>86489</v>
      </c>
      <c r="G40" s="122">
        <f>$C40*$E$27</f>
        <v>3200</v>
      </c>
      <c r="H40" s="122">
        <f t="shared" si="5"/>
        <v>151059.70588235295</v>
      </c>
      <c r="I40" s="122">
        <f t="shared" si="6"/>
        <v>17732.647058823532</v>
      </c>
      <c r="J40" s="122">
        <f>$E$30+$B40*$E$31</f>
        <v>44240.017</v>
      </c>
      <c r="K40" s="87">
        <f t="shared" si="7"/>
        <v>4805.1011101774047</v>
      </c>
      <c r="L40" s="87">
        <f t="shared" si="8"/>
        <v>258742.04729090491</v>
      </c>
      <c r="M40" s="122">
        <f t="shared" si="9"/>
        <v>71478.512396694219</v>
      </c>
      <c r="N40" s="122">
        <f>$C40*$K$27</f>
        <v>2782.608695652174</v>
      </c>
      <c r="O40" s="122">
        <f t="shared" si="10"/>
        <v>131356.26598465475</v>
      </c>
      <c r="P40" s="122">
        <f t="shared" si="11"/>
        <v>14655.080213903746</v>
      </c>
      <c r="Q40" s="122">
        <f>$K$30+$B40*$K$31</f>
        <v>38469.58</v>
      </c>
      <c r="R40" s="87">
        <f t="shared" si="12"/>
        <v>4107.0166236651576</v>
      </c>
      <c r="S40" s="111"/>
      <c r="T40" s="111"/>
      <c r="U40" s="123"/>
      <c r="V40" s="87"/>
      <c r="W40" s="87"/>
      <c r="X40" s="87"/>
      <c r="Y40" s="87"/>
      <c r="Z40" s="87"/>
      <c r="AA40" s="81"/>
      <c r="AB40" s="81"/>
    </row>
    <row r="41" spans="1:28" ht="12.75" hidden="1" customHeight="1" outlineLevel="1" x14ac:dyDescent="0.25">
      <c r="A41" s="121">
        <f t="shared" si="14"/>
        <v>64</v>
      </c>
      <c r="B41" s="124">
        <f>_xlfn.CEILING.MATH((A41-30)/2,1)</f>
        <v>17</v>
      </c>
      <c r="C41" s="124">
        <f>ROUND(A41*$E$34,0)</f>
        <v>32</v>
      </c>
      <c r="D41" s="81" t="str">
        <f t="shared" si="4"/>
        <v>64 osob</v>
      </c>
      <c r="E41" s="104">
        <f t="shared" si="15"/>
        <v>305400.61363865546</v>
      </c>
      <c r="F41" s="122">
        <f>SUM($E$15:$E$24)</f>
        <v>86489</v>
      </c>
      <c r="G41" s="122">
        <f>$C41*$E$27</f>
        <v>3200</v>
      </c>
      <c r="H41" s="122">
        <f t="shared" si="5"/>
        <v>153457.47899159664</v>
      </c>
      <c r="I41" s="122">
        <f t="shared" si="6"/>
        <v>18014.117647058825</v>
      </c>
      <c r="J41" s="122">
        <f>$E$30+$B41*$E$31</f>
        <v>44240.017</v>
      </c>
      <c r="K41" s="87">
        <f t="shared" si="7"/>
        <v>4771.8845881039915</v>
      </c>
      <c r="L41" s="87">
        <f t="shared" si="8"/>
        <v>261059.68770675501</v>
      </c>
      <c r="M41" s="122">
        <f t="shared" si="9"/>
        <v>71478.512396694219</v>
      </c>
      <c r="N41" s="122">
        <f>$C41*$K$27</f>
        <v>2782.608695652174</v>
      </c>
      <c r="O41" s="122">
        <f t="shared" si="10"/>
        <v>133441.28607964926</v>
      </c>
      <c r="P41" s="122">
        <f t="shared" si="11"/>
        <v>14887.70053475936</v>
      </c>
      <c r="Q41" s="122">
        <f>$K$30+$B41*$K$31</f>
        <v>38469.58</v>
      </c>
      <c r="R41" s="87">
        <f t="shared" si="12"/>
        <v>4079.057620418047</v>
      </c>
      <c r="S41" s="111"/>
      <c r="T41" s="111"/>
      <c r="U41" s="123"/>
      <c r="V41" s="87"/>
      <c r="W41" s="87"/>
      <c r="X41" s="87"/>
      <c r="Y41" s="87"/>
      <c r="Z41" s="87"/>
      <c r="AA41" s="81"/>
      <c r="AB41" s="81"/>
    </row>
    <row r="42" spans="1:28" ht="12.75" hidden="1" customHeight="1" outlineLevel="1" x14ac:dyDescent="0.25">
      <c r="A42" s="121">
        <f t="shared" si="14"/>
        <v>65</v>
      </c>
      <c r="B42" s="124">
        <f>_xlfn.CEILING.MATH((A42-30)/2,1)</f>
        <v>18</v>
      </c>
      <c r="C42" s="124">
        <f>ROUND(A42*$E$34,0)</f>
        <v>33</v>
      </c>
      <c r="D42" s="81" t="str">
        <f t="shared" si="4"/>
        <v>65 osob</v>
      </c>
      <c r="E42" s="104">
        <f t="shared" si="15"/>
        <v>309699.85833613441</v>
      </c>
      <c r="F42" s="122">
        <f>SUM($E$15:$E$24)</f>
        <v>86489</v>
      </c>
      <c r="G42" s="122">
        <f>$C42*$E$27</f>
        <v>3300</v>
      </c>
      <c r="H42" s="122">
        <f t="shared" si="5"/>
        <v>155855.25210084033</v>
      </c>
      <c r="I42" s="122">
        <f t="shared" si="6"/>
        <v>18295.588235294119</v>
      </c>
      <c r="J42" s="122">
        <f>$E$30+$B42*$E$31</f>
        <v>45760.017999999996</v>
      </c>
      <c r="K42" s="87">
        <f t="shared" si="7"/>
        <v>4764.6132051712984</v>
      </c>
      <c r="L42" s="87">
        <f t="shared" si="8"/>
        <v>264786.02464434429</v>
      </c>
      <c r="M42" s="122">
        <f t="shared" si="9"/>
        <v>71478.512396694219</v>
      </c>
      <c r="N42" s="122">
        <f>$C42*$K$27</f>
        <v>2869.5652173913045</v>
      </c>
      <c r="O42" s="122">
        <f t="shared" si="10"/>
        <v>135526.30617464377</v>
      </c>
      <c r="P42" s="122">
        <f t="shared" si="11"/>
        <v>15120.320855614975</v>
      </c>
      <c r="Q42" s="122">
        <f>$K$30+$B42*$K$31</f>
        <v>39791.32</v>
      </c>
      <c r="R42" s="87">
        <f t="shared" si="12"/>
        <v>4073.6311483745276</v>
      </c>
      <c r="S42" s="111"/>
      <c r="T42" s="111"/>
      <c r="U42" s="123"/>
      <c r="V42" s="87"/>
      <c r="W42" s="87"/>
      <c r="X42" s="87"/>
      <c r="Y42" s="87"/>
      <c r="Z42" s="87"/>
      <c r="AA42" s="81"/>
      <c r="AB42" s="81"/>
    </row>
    <row r="43" spans="1:28" ht="12.75" hidden="1" customHeight="1" outlineLevel="1" x14ac:dyDescent="0.25">
      <c r="A43" s="121">
        <f t="shared" si="14"/>
        <v>66</v>
      </c>
      <c r="B43" s="124">
        <f>_xlfn.CEILING.MATH((A43-30)/2,1)</f>
        <v>18</v>
      </c>
      <c r="C43" s="124">
        <f>ROUND(A43*$E$34,0)</f>
        <v>33</v>
      </c>
      <c r="D43" s="81" t="str">
        <f t="shared" si="4"/>
        <v>66 osob</v>
      </c>
      <c r="E43" s="104">
        <f t="shared" si="15"/>
        <v>312379.10203361342</v>
      </c>
      <c r="F43" s="122">
        <f>SUM($E$15:$E$24)</f>
        <v>86489</v>
      </c>
      <c r="G43" s="122">
        <f>$C43*$E$27</f>
        <v>3300</v>
      </c>
      <c r="H43" s="122">
        <f t="shared" si="5"/>
        <v>158253.02521008404</v>
      </c>
      <c r="I43" s="122">
        <f t="shared" si="6"/>
        <v>18577.058823529413</v>
      </c>
      <c r="J43" s="122">
        <f>$E$30+$B43*$E$31</f>
        <v>45760.017999999996</v>
      </c>
      <c r="K43" s="87">
        <f t="shared" si="7"/>
        <v>4733.0166974789909</v>
      </c>
      <c r="L43" s="87">
        <f t="shared" si="8"/>
        <v>267103.66506019444</v>
      </c>
      <c r="M43" s="122">
        <f t="shared" si="9"/>
        <v>71478.512396694219</v>
      </c>
      <c r="N43" s="122">
        <f>$C43*$K$27</f>
        <v>2869.5652173913045</v>
      </c>
      <c r="O43" s="122">
        <f t="shared" si="10"/>
        <v>137611.32626963829</v>
      </c>
      <c r="P43" s="122">
        <f t="shared" si="11"/>
        <v>15352.941176470591</v>
      </c>
      <c r="Q43" s="122">
        <f>$K$30+$B43*$K$31</f>
        <v>39791.32</v>
      </c>
      <c r="R43" s="87">
        <f t="shared" si="12"/>
        <v>4047.0252281847643</v>
      </c>
      <c r="S43" s="111"/>
      <c r="T43" s="111"/>
      <c r="U43" s="123"/>
      <c r="V43" s="87"/>
      <c r="W43" s="87"/>
      <c r="X43" s="87"/>
      <c r="Y43" s="87"/>
      <c r="Z43" s="87"/>
      <c r="AA43" s="81"/>
      <c r="AB43" s="81"/>
    </row>
    <row r="44" spans="1:28" ht="12.75" hidden="1" customHeight="1" outlineLevel="1" x14ac:dyDescent="0.25">
      <c r="A44" s="121">
        <f t="shared" si="14"/>
        <v>67</v>
      </c>
      <c r="B44" s="124">
        <f>_xlfn.CEILING.MATH((A44-30)/2,1)</f>
        <v>19</v>
      </c>
      <c r="C44" s="124">
        <f>ROUND(A44*$E$34,0)</f>
        <v>34</v>
      </c>
      <c r="D44" s="81" t="str">
        <f t="shared" si="4"/>
        <v>67 osob</v>
      </c>
      <c r="E44" s="104">
        <f t="shared" si="15"/>
        <v>316678.34673109243</v>
      </c>
      <c r="F44" s="122">
        <f>SUM($E$15:$E$24)</f>
        <v>86489</v>
      </c>
      <c r="G44" s="122">
        <f>$C44*$E$27</f>
        <v>3400</v>
      </c>
      <c r="H44" s="122">
        <f t="shared" si="5"/>
        <v>160650.79831932773</v>
      </c>
      <c r="I44" s="122">
        <f t="shared" si="6"/>
        <v>18858.529411764706</v>
      </c>
      <c r="J44" s="122">
        <f>$E$30+$B44*$E$31</f>
        <v>47280.019</v>
      </c>
      <c r="K44" s="87">
        <f t="shared" si="7"/>
        <v>4726.542488523768</v>
      </c>
      <c r="L44" s="87">
        <f t="shared" si="8"/>
        <v>270830.00199778366</v>
      </c>
      <c r="M44" s="122">
        <f t="shared" si="9"/>
        <v>71478.512396694219</v>
      </c>
      <c r="N44" s="122">
        <f>$C44*$K$27</f>
        <v>2956.521739130435</v>
      </c>
      <c r="O44" s="122">
        <f t="shared" si="10"/>
        <v>139696.34636463283</v>
      </c>
      <c r="P44" s="122">
        <f t="shared" si="11"/>
        <v>15585.561497326205</v>
      </c>
      <c r="Q44" s="122">
        <f>$K$30+$B44*$K$31</f>
        <v>41113.06</v>
      </c>
      <c r="R44" s="87">
        <f t="shared" si="12"/>
        <v>4042.2388357878158</v>
      </c>
      <c r="S44" s="111"/>
      <c r="T44" s="111"/>
      <c r="U44" s="123"/>
      <c r="V44" s="87"/>
      <c r="W44" s="87"/>
      <c r="X44" s="87"/>
      <c r="Y44" s="87"/>
      <c r="Z44" s="87"/>
      <c r="AA44" s="81"/>
      <c r="AB44" s="81"/>
    </row>
    <row r="45" spans="1:28" ht="12.75" hidden="1" customHeight="1" outlineLevel="1" x14ac:dyDescent="0.25">
      <c r="A45" s="121">
        <f t="shared" si="14"/>
        <v>68</v>
      </c>
      <c r="B45" s="124">
        <f>_xlfn.CEILING.MATH((A45-30)/2,1)</f>
        <v>19</v>
      </c>
      <c r="C45" s="124">
        <f>ROUND(A45*$E$34,0)</f>
        <v>34</v>
      </c>
      <c r="D45" s="81" t="str">
        <f t="shared" si="4"/>
        <v>68 osob</v>
      </c>
      <c r="E45" s="104">
        <f t="shared" si="15"/>
        <v>319357.59042857145</v>
      </c>
      <c r="F45" s="122">
        <f>SUM($E$15:$E$24)</f>
        <v>86489</v>
      </c>
      <c r="G45" s="122">
        <f>$C45*$E$27</f>
        <v>3400</v>
      </c>
      <c r="H45" s="122">
        <f t="shared" si="5"/>
        <v>163048.57142857142</v>
      </c>
      <c r="I45" s="122">
        <f t="shared" si="6"/>
        <v>19140</v>
      </c>
      <c r="J45" s="122">
        <f>$E$30+$B45*$E$31</f>
        <v>47280.019</v>
      </c>
      <c r="K45" s="87">
        <f t="shared" si="7"/>
        <v>4696.4351533613444</v>
      </c>
      <c r="L45" s="87">
        <f t="shared" si="8"/>
        <v>273147.64241363382</v>
      </c>
      <c r="M45" s="122">
        <f t="shared" si="9"/>
        <v>71478.512396694219</v>
      </c>
      <c r="N45" s="122">
        <f>$C45*$K$27</f>
        <v>2956.521739130435</v>
      </c>
      <c r="O45" s="122">
        <f t="shared" si="10"/>
        <v>141781.36645962734</v>
      </c>
      <c r="P45" s="122">
        <f t="shared" si="11"/>
        <v>15818.18181818182</v>
      </c>
      <c r="Q45" s="122">
        <f>$K$30+$B45*$K$31</f>
        <v>41113.06</v>
      </c>
      <c r="R45" s="87">
        <f t="shared" si="12"/>
        <v>4016.8770943181444</v>
      </c>
      <c r="S45" s="111"/>
      <c r="T45" s="111"/>
      <c r="U45" s="123"/>
      <c r="V45" s="87"/>
      <c r="W45" s="87"/>
      <c r="X45" s="87"/>
      <c r="Y45" s="87"/>
      <c r="Z45" s="87"/>
      <c r="AA45" s="81"/>
      <c r="AB45" s="81"/>
    </row>
    <row r="46" spans="1:28" ht="12.75" hidden="1" customHeight="1" outlineLevel="1" x14ac:dyDescent="0.25">
      <c r="A46" s="121">
        <f t="shared" si="14"/>
        <v>69</v>
      </c>
      <c r="B46" s="124">
        <f>_xlfn.CEILING.MATH((A46-30)/2,1)</f>
        <v>20</v>
      </c>
      <c r="C46" s="124">
        <f>ROUND(A46*$E$34,0)</f>
        <v>35</v>
      </c>
      <c r="D46" s="81" t="str">
        <f t="shared" si="4"/>
        <v>69 osob</v>
      </c>
      <c r="E46" s="104">
        <f t="shared" si="15"/>
        <v>323656.83512605046</v>
      </c>
      <c r="F46" s="122">
        <f>SUM($E$15:$E$24)</f>
        <v>86489</v>
      </c>
      <c r="G46" s="122">
        <f>$C46*$E$27</f>
        <v>3500</v>
      </c>
      <c r="H46" s="122">
        <f t="shared" si="5"/>
        <v>165446.34453781514</v>
      </c>
      <c r="I46" s="122">
        <f t="shared" si="6"/>
        <v>19421.470588235297</v>
      </c>
      <c r="J46" s="122">
        <f>$E$30+$B46*$E$31</f>
        <v>48800.020000000004</v>
      </c>
      <c r="K46" s="87">
        <f t="shared" si="7"/>
        <v>4690.6787699427605</v>
      </c>
      <c r="L46" s="87">
        <f t="shared" si="8"/>
        <v>276873.9793512231</v>
      </c>
      <c r="M46" s="122">
        <f t="shared" si="9"/>
        <v>71478.512396694219</v>
      </c>
      <c r="N46" s="122">
        <f>$C46*$K$27</f>
        <v>3043.4782608695655</v>
      </c>
      <c r="O46" s="122">
        <f t="shared" si="10"/>
        <v>143866.38655462186</v>
      </c>
      <c r="P46" s="122">
        <f t="shared" si="11"/>
        <v>16050.802139037436</v>
      </c>
      <c r="Q46" s="122">
        <f>$K$30+$B46*$K$31</f>
        <v>42434.8</v>
      </c>
      <c r="R46" s="87">
        <f t="shared" si="12"/>
        <v>4012.6663674090305</v>
      </c>
      <c r="S46" s="111"/>
      <c r="T46" s="111"/>
      <c r="U46" s="123"/>
      <c r="V46" s="87"/>
      <c r="W46" s="87"/>
      <c r="X46" s="87"/>
      <c r="Y46" s="87"/>
      <c r="Z46" s="87"/>
      <c r="AA46" s="81"/>
      <c r="AB46" s="81"/>
    </row>
    <row r="47" spans="1:28" ht="12.75" hidden="1" customHeight="1" outlineLevel="1" x14ac:dyDescent="0.25">
      <c r="A47" s="121">
        <f t="shared" si="14"/>
        <v>70</v>
      </c>
      <c r="B47" s="124">
        <f>_xlfn.CEILING.MATH((A47-30)/2,1)</f>
        <v>20</v>
      </c>
      <c r="C47" s="124">
        <f>ROUND(A47*$E$34,0)</f>
        <v>35</v>
      </c>
      <c r="D47" s="81" t="str">
        <f t="shared" si="4"/>
        <v>70 osob</v>
      </c>
      <c r="E47" s="104">
        <f t="shared" si="15"/>
        <v>326336.07882352942</v>
      </c>
      <c r="F47" s="122">
        <f>SUM($E$15:$E$24)</f>
        <v>86489</v>
      </c>
      <c r="G47" s="122">
        <f>$C47*$E$27</f>
        <v>3500</v>
      </c>
      <c r="H47" s="122">
        <f t="shared" si="5"/>
        <v>167844.11764705883</v>
      </c>
      <c r="I47" s="122">
        <f t="shared" si="6"/>
        <v>19702.941176470591</v>
      </c>
      <c r="J47" s="122">
        <f>$E$30+$B47*$E$31</f>
        <v>48800.020000000004</v>
      </c>
      <c r="K47" s="87">
        <f t="shared" si="7"/>
        <v>4661.9439831932777</v>
      </c>
      <c r="L47" s="87">
        <f t="shared" si="8"/>
        <v>279191.61976707319</v>
      </c>
      <c r="M47" s="122">
        <f t="shared" si="9"/>
        <v>71478.512396694219</v>
      </c>
      <c r="N47" s="122">
        <f>$C47*$K$27</f>
        <v>3043.4782608695655</v>
      </c>
      <c r="O47" s="122">
        <f t="shared" si="10"/>
        <v>145951.40664961637</v>
      </c>
      <c r="P47" s="122">
        <f t="shared" si="11"/>
        <v>16283.42245989305</v>
      </c>
      <c r="Q47" s="122">
        <f>$K$30+$B47*$K$31</f>
        <v>42434.8</v>
      </c>
      <c r="R47" s="87">
        <f t="shared" si="12"/>
        <v>3988.4517109581884</v>
      </c>
      <c r="S47" s="111"/>
      <c r="T47" s="111"/>
      <c r="U47" s="123"/>
      <c r="V47" s="87"/>
      <c r="W47" s="87"/>
      <c r="X47" s="87"/>
      <c r="Y47" s="87"/>
      <c r="Z47" s="87"/>
      <c r="AA47" s="81"/>
      <c r="AB47" s="81"/>
    </row>
    <row r="48" spans="1:28" ht="12.75" hidden="1" customHeight="1" outlineLevel="1" x14ac:dyDescent="0.25">
      <c r="A48" s="121">
        <f t="shared" si="14"/>
        <v>71</v>
      </c>
      <c r="B48" s="124">
        <f>_xlfn.CEILING.MATH((A48-30)/2,1)</f>
        <v>21</v>
      </c>
      <c r="C48" s="124">
        <f>ROUND(A48*$E$34,0)</f>
        <v>36</v>
      </c>
      <c r="D48" s="81" t="str">
        <f t="shared" si="4"/>
        <v>71 osob</v>
      </c>
      <c r="E48" s="104">
        <f t="shared" si="15"/>
        <v>330635.32352100842</v>
      </c>
      <c r="F48" s="122">
        <f>SUM($E$15:$E$24)</f>
        <v>86489</v>
      </c>
      <c r="G48" s="122">
        <f>$C48*$E$27</f>
        <v>3600</v>
      </c>
      <c r="H48" s="122">
        <f t="shared" si="5"/>
        <v>170241.89075630251</v>
      </c>
      <c r="I48" s="122">
        <f t="shared" si="6"/>
        <v>19984.411764705885</v>
      </c>
      <c r="J48" s="122">
        <f>$E$30+$B48*$E$31</f>
        <v>50320.021000000001</v>
      </c>
      <c r="K48" s="87">
        <f t="shared" si="7"/>
        <v>4656.8355425494146</v>
      </c>
      <c r="L48" s="87">
        <f t="shared" si="8"/>
        <v>282917.95670466247</v>
      </c>
      <c r="M48" s="122">
        <f t="shared" si="9"/>
        <v>71478.512396694219</v>
      </c>
      <c r="N48" s="122">
        <f>$C48*$K$27</f>
        <v>3130.434782608696</v>
      </c>
      <c r="O48" s="122">
        <f t="shared" si="10"/>
        <v>148036.42674461089</v>
      </c>
      <c r="P48" s="122">
        <f t="shared" si="11"/>
        <v>16516.042780748667</v>
      </c>
      <c r="Q48" s="122">
        <f>$K$30+$B48*$K$31</f>
        <v>43756.54</v>
      </c>
      <c r="R48" s="87">
        <f t="shared" si="12"/>
        <v>3984.7599535867953</v>
      </c>
      <c r="S48" s="111"/>
      <c r="T48" s="111"/>
      <c r="U48" s="123"/>
      <c r="V48" s="87"/>
      <c r="W48" s="87"/>
      <c r="X48" s="87"/>
      <c r="Y48" s="87"/>
      <c r="Z48" s="87"/>
      <c r="AA48" s="81"/>
      <c r="AB48" s="81"/>
    </row>
    <row r="49" spans="1:28" ht="12.75" hidden="1" customHeight="1" outlineLevel="1" x14ac:dyDescent="0.25">
      <c r="A49" s="121">
        <f t="shared" si="14"/>
        <v>72</v>
      </c>
      <c r="B49" s="124">
        <f>_xlfn.CEILING.MATH((A49-30)/2,1)</f>
        <v>21</v>
      </c>
      <c r="C49" s="124">
        <f>ROUND(A49*$E$34,0)</f>
        <v>36</v>
      </c>
      <c r="D49" s="81" t="str">
        <f t="shared" si="4"/>
        <v>72 osob</v>
      </c>
      <c r="E49" s="104">
        <f t="shared" si="15"/>
        <v>333314.56721848744</v>
      </c>
      <c r="F49" s="122">
        <f>SUM($E$15:$E$24)</f>
        <v>86489</v>
      </c>
      <c r="G49" s="122">
        <f>$C49*$E$27</f>
        <v>3600</v>
      </c>
      <c r="H49" s="122">
        <f t="shared" si="5"/>
        <v>172639.66386554623</v>
      </c>
      <c r="I49" s="122">
        <f t="shared" si="6"/>
        <v>20265.882352941178</v>
      </c>
      <c r="J49" s="122">
        <f>$E$30+$B49*$E$31</f>
        <v>50320.021000000001</v>
      </c>
      <c r="K49" s="87">
        <f t="shared" si="7"/>
        <v>4629.3689891456588</v>
      </c>
      <c r="L49" s="87">
        <f t="shared" si="8"/>
        <v>285235.59712051263</v>
      </c>
      <c r="M49" s="122">
        <f t="shared" si="9"/>
        <v>71478.512396694219</v>
      </c>
      <c r="N49" s="122">
        <f>$C49*$K$27</f>
        <v>3130.434782608696</v>
      </c>
      <c r="O49" s="122">
        <f t="shared" si="10"/>
        <v>150121.44683960543</v>
      </c>
      <c r="P49" s="122">
        <f t="shared" si="11"/>
        <v>16748.663101604281</v>
      </c>
      <c r="Q49" s="122">
        <f>$K$30+$B49*$K$31</f>
        <v>43756.54</v>
      </c>
      <c r="R49" s="87">
        <f t="shared" si="12"/>
        <v>3961.6055155626755</v>
      </c>
      <c r="S49" s="111"/>
      <c r="T49" s="111"/>
      <c r="U49" s="123"/>
      <c r="V49" s="87"/>
      <c r="W49" s="87"/>
      <c r="X49" s="87"/>
      <c r="Y49" s="87"/>
      <c r="Z49" s="87"/>
      <c r="AA49" s="81"/>
      <c r="AB49" s="81"/>
    </row>
    <row r="50" spans="1:28" ht="12.75" hidden="1" customHeight="1" outlineLevel="1" x14ac:dyDescent="0.25">
      <c r="A50" s="121">
        <f t="shared" si="14"/>
        <v>73</v>
      </c>
      <c r="B50" s="124">
        <f>_xlfn.CEILING.MATH((A50-30)/2,1)</f>
        <v>22</v>
      </c>
      <c r="C50" s="124">
        <f>ROUND(A50*$E$34,0)</f>
        <v>37</v>
      </c>
      <c r="D50" s="81" t="str">
        <f t="shared" si="4"/>
        <v>73 osob</v>
      </c>
      <c r="E50" s="104">
        <f t="shared" si="15"/>
        <v>337613.81191596639</v>
      </c>
      <c r="F50" s="122">
        <f>SUM($E$15:$E$24)</f>
        <v>86489</v>
      </c>
      <c r="G50" s="122">
        <f>$C50*$E$27</f>
        <v>3700</v>
      </c>
      <c r="H50" s="122">
        <f t="shared" si="5"/>
        <v>175037.43697478992</v>
      </c>
      <c r="I50" s="122">
        <f t="shared" si="6"/>
        <v>20547.352941176472</v>
      </c>
      <c r="J50" s="122">
        <f>$E$30+$B50*$E$31</f>
        <v>51840.021999999997</v>
      </c>
      <c r="K50" s="87">
        <f t="shared" si="7"/>
        <v>4624.8467385748818</v>
      </c>
      <c r="L50" s="87">
        <f t="shared" si="8"/>
        <v>288961.93405810185</v>
      </c>
      <c r="M50" s="122">
        <f t="shared" si="9"/>
        <v>71478.512396694219</v>
      </c>
      <c r="N50" s="122">
        <f>$C50*$K$27</f>
        <v>3217.391304347826</v>
      </c>
      <c r="O50" s="122">
        <f t="shared" si="10"/>
        <v>152206.46693459994</v>
      </c>
      <c r="P50" s="122">
        <f t="shared" si="11"/>
        <v>16981.283422459896</v>
      </c>
      <c r="Q50" s="122">
        <f>$K$30+$B50*$K$31</f>
        <v>45078.28</v>
      </c>
      <c r="R50" s="87">
        <f t="shared" si="12"/>
        <v>3958.3826583301625</v>
      </c>
      <c r="S50" s="111"/>
      <c r="T50" s="111"/>
      <c r="U50" s="123"/>
      <c r="V50" s="87"/>
      <c r="W50" s="87"/>
      <c r="X50" s="87"/>
      <c r="Y50" s="87"/>
      <c r="Z50" s="87"/>
      <c r="AA50" s="81"/>
      <c r="AB50" s="81"/>
    </row>
    <row r="51" spans="1:28" ht="12.75" hidden="1" customHeight="1" outlineLevel="1" x14ac:dyDescent="0.25">
      <c r="A51" s="121">
        <f t="shared" si="14"/>
        <v>74</v>
      </c>
      <c r="B51" s="124">
        <f>_xlfn.CEILING.MATH((A51-30)/2,1)</f>
        <v>22</v>
      </c>
      <c r="C51" s="124">
        <f>ROUND(A51*$E$34,0)</f>
        <v>37</v>
      </c>
      <c r="D51" s="81" t="str">
        <f t="shared" si="4"/>
        <v>74 osob</v>
      </c>
      <c r="E51" s="104">
        <f t="shared" si="15"/>
        <v>340293.05561344535</v>
      </c>
      <c r="F51" s="122">
        <f>SUM($E$15:$E$24)</f>
        <v>86489</v>
      </c>
      <c r="G51" s="122">
        <f>$C51*$E$27</f>
        <v>3700</v>
      </c>
      <c r="H51" s="122">
        <f t="shared" si="5"/>
        <v>177435.21008403361</v>
      </c>
      <c r="I51" s="122">
        <f t="shared" si="6"/>
        <v>20828.823529411766</v>
      </c>
      <c r="J51" s="122">
        <f>$E$30+$B51*$E$31</f>
        <v>51840.021999999997</v>
      </c>
      <c r="K51" s="87">
        <f t="shared" si="7"/>
        <v>4598.5548055870995</v>
      </c>
      <c r="L51" s="87">
        <f t="shared" si="8"/>
        <v>291279.574473952</v>
      </c>
      <c r="M51" s="122">
        <f t="shared" si="9"/>
        <v>71478.512396694219</v>
      </c>
      <c r="N51" s="122">
        <f>$C51*$K$27</f>
        <v>3217.391304347826</v>
      </c>
      <c r="O51" s="122">
        <f t="shared" si="10"/>
        <v>154291.48702959446</v>
      </c>
      <c r="P51" s="122">
        <f t="shared" si="11"/>
        <v>17213.90374331551</v>
      </c>
      <c r="Q51" s="122">
        <f>$K$30+$B51*$K$31</f>
        <v>45078.28</v>
      </c>
      <c r="R51" s="87">
        <f t="shared" si="12"/>
        <v>3936.2104658642161</v>
      </c>
      <c r="S51" s="111"/>
      <c r="T51" s="111"/>
      <c r="U51" s="123"/>
      <c r="V51" s="87"/>
      <c r="W51" s="87"/>
      <c r="X51" s="87"/>
      <c r="Y51" s="87"/>
      <c r="Z51" s="87"/>
      <c r="AA51" s="81"/>
      <c r="AB51" s="81"/>
    </row>
    <row r="52" spans="1:28" ht="12.75" hidden="1" customHeight="1" outlineLevel="1" x14ac:dyDescent="0.25">
      <c r="A52" s="121">
        <f t="shared" si="14"/>
        <v>75</v>
      </c>
      <c r="B52" s="124">
        <f>_xlfn.CEILING.MATH((A52-30)/2,1)</f>
        <v>23</v>
      </c>
      <c r="C52" s="124">
        <f>ROUND(A52*$E$34,0)</f>
        <v>38</v>
      </c>
      <c r="D52" s="81" t="str">
        <f t="shared" si="4"/>
        <v>75 osob</v>
      </c>
      <c r="E52" s="104">
        <f t="shared" si="15"/>
        <v>344592.30031092436</v>
      </c>
      <c r="F52" s="122">
        <f>SUM($E$15:$E$24)</f>
        <v>86489</v>
      </c>
      <c r="G52" s="122">
        <f>$C52*$E$27</f>
        <v>3800</v>
      </c>
      <c r="H52" s="122">
        <f t="shared" si="5"/>
        <v>179832.98319327732</v>
      </c>
      <c r="I52" s="122">
        <f t="shared" si="6"/>
        <v>21110.294117647059</v>
      </c>
      <c r="J52" s="122">
        <f>$E$30+$B52*$E$31</f>
        <v>53360.023000000001</v>
      </c>
      <c r="K52" s="87">
        <f t="shared" si="7"/>
        <v>4594.5640041456581</v>
      </c>
      <c r="L52" s="87">
        <f t="shared" si="8"/>
        <v>295005.91141154128</v>
      </c>
      <c r="M52" s="122">
        <f t="shared" si="9"/>
        <v>71478.512396694219</v>
      </c>
      <c r="N52" s="122">
        <f>$C52*$K$27</f>
        <v>3304.3478260869565</v>
      </c>
      <c r="O52" s="122">
        <f t="shared" si="10"/>
        <v>156376.50712458897</v>
      </c>
      <c r="P52" s="122">
        <f t="shared" si="11"/>
        <v>17446.524064171124</v>
      </c>
      <c r="Q52" s="122">
        <f>$K$30+$B52*$K$31</f>
        <v>46400.020000000004</v>
      </c>
      <c r="R52" s="87">
        <f t="shared" si="12"/>
        <v>3933.4121521538837</v>
      </c>
      <c r="S52" s="111"/>
      <c r="T52" s="111"/>
      <c r="U52" s="123"/>
      <c r="V52" s="87"/>
      <c r="W52" s="87"/>
      <c r="X52" s="87"/>
      <c r="Y52" s="87"/>
      <c r="Z52" s="87"/>
      <c r="AA52" s="81"/>
      <c r="AB52" s="81"/>
    </row>
    <row r="53" spans="1:28" ht="12.75" hidden="1" customHeight="1" outlineLevel="1" x14ac:dyDescent="0.25">
      <c r="A53" s="121">
        <f t="shared" si="14"/>
        <v>76</v>
      </c>
      <c r="B53" s="124">
        <f>_xlfn.CEILING.MATH((A53-30)/2,1)</f>
        <v>23</v>
      </c>
      <c r="C53" s="124">
        <f>ROUND(A53*$E$34,0)</f>
        <v>38</v>
      </c>
      <c r="D53" s="81" t="str">
        <f t="shared" si="4"/>
        <v>76 osob</v>
      </c>
      <c r="E53" s="104">
        <f t="shared" si="15"/>
        <v>347271.54400840332</v>
      </c>
      <c r="F53" s="122">
        <f>SUM($E$15:$E$24)</f>
        <v>86489</v>
      </c>
      <c r="G53" s="122">
        <f>$C53*$E$27</f>
        <v>3800</v>
      </c>
      <c r="H53" s="122">
        <f t="shared" si="5"/>
        <v>182230.75630252101</v>
      </c>
      <c r="I53" s="122">
        <f t="shared" si="6"/>
        <v>21391.764705882357</v>
      </c>
      <c r="J53" s="122">
        <f>$E$30+$B53*$E$31</f>
        <v>53360.023000000001</v>
      </c>
      <c r="K53" s="87">
        <f t="shared" si="7"/>
        <v>4569.3624211632014</v>
      </c>
      <c r="L53" s="87">
        <f t="shared" si="8"/>
        <v>297323.55182739138</v>
      </c>
      <c r="M53" s="122">
        <f t="shared" si="9"/>
        <v>71478.512396694219</v>
      </c>
      <c r="N53" s="122">
        <f>$C53*$K$27</f>
        <v>3304.3478260869565</v>
      </c>
      <c r="O53" s="122">
        <f t="shared" si="10"/>
        <v>158461.52721958348</v>
      </c>
      <c r="P53" s="122">
        <f t="shared" si="11"/>
        <v>17679.144385026739</v>
      </c>
      <c r="Q53" s="122">
        <f>$K$30+$B53*$K$31</f>
        <v>46400.020000000004</v>
      </c>
      <c r="R53" s="87">
        <f t="shared" si="12"/>
        <v>3912.151997728834</v>
      </c>
      <c r="S53" s="111"/>
      <c r="T53" s="111"/>
      <c r="U53" s="123"/>
      <c r="V53" s="87"/>
      <c r="W53" s="87"/>
      <c r="X53" s="87"/>
      <c r="Y53" s="87"/>
      <c r="Z53" s="87"/>
      <c r="AA53" s="81"/>
      <c r="AB53" s="81"/>
    </row>
    <row r="54" spans="1:28" ht="12.75" hidden="1" customHeight="1" outlineLevel="1" x14ac:dyDescent="0.25">
      <c r="A54" s="121">
        <f t="shared" si="14"/>
        <v>77</v>
      </c>
      <c r="B54" s="124">
        <f>_xlfn.CEILING.MATH((A54-30)/2,1)</f>
        <v>24</v>
      </c>
      <c r="C54" s="124">
        <f>ROUND(A54*$E$34,0)</f>
        <v>39</v>
      </c>
      <c r="D54" s="81" t="str">
        <f t="shared" si="4"/>
        <v>77 osob</v>
      </c>
      <c r="E54" s="104">
        <f t="shared" si="15"/>
        <v>351570.78870588233</v>
      </c>
      <c r="F54" s="122">
        <f>SUM($E$15:$E$24)</f>
        <v>86489</v>
      </c>
      <c r="G54" s="122">
        <f>$C54*$E$27</f>
        <v>3900</v>
      </c>
      <c r="H54" s="122">
        <f t="shared" si="5"/>
        <v>184628.5294117647</v>
      </c>
      <c r="I54" s="122">
        <f t="shared" si="6"/>
        <v>21673.23529411765</v>
      </c>
      <c r="J54" s="122">
        <f>$E$30+$B54*$E$31</f>
        <v>54880.023999999998</v>
      </c>
      <c r="K54" s="87">
        <f t="shared" si="7"/>
        <v>4565.8543987776929</v>
      </c>
      <c r="L54" s="87">
        <f t="shared" si="8"/>
        <v>301049.88876498066</v>
      </c>
      <c r="M54" s="122">
        <f t="shared" si="9"/>
        <v>71478.512396694219</v>
      </c>
      <c r="N54" s="122">
        <f>$C54*$K$27</f>
        <v>3391.304347826087</v>
      </c>
      <c r="O54" s="122">
        <f t="shared" si="10"/>
        <v>160546.54731457803</v>
      </c>
      <c r="P54" s="122">
        <f t="shared" si="11"/>
        <v>17911.764705882357</v>
      </c>
      <c r="Q54" s="122">
        <f>$K$30+$B54*$K$31</f>
        <v>47721.760000000002</v>
      </c>
      <c r="R54" s="87">
        <f t="shared" si="12"/>
        <v>3909.7388151296191</v>
      </c>
      <c r="S54" s="111"/>
      <c r="T54" s="111"/>
      <c r="U54" s="123"/>
      <c r="V54" s="87"/>
      <c r="W54" s="87"/>
      <c r="X54" s="87"/>
      <c r="Y54" s="87"/>
      <c r="Z54" s="87"/>
      <c r="AA54" s="81"/>
      <c r="AB54" s="81"/>
    </row>
    <row r="55" spans="1:28" ht="12.75" hidden="1" customHeight="1" outlineLevel="1" x14ac:dyDescent="0.25">
      <c r="A55" s="121">
        <f t="shared" si="14"/>
        <v>78</v>
      </c>
      <c r="B55" s="124">
        <f>_xlfn.CEILING.MATH((A55-30)/2,1)</f>
        <v>24</v>
      </c>
      <c r="C55" s="124">
        <f>ROUND(A55*$E$34,0)</f>
        <v>39</v>
      </c>
      <c r="D55" s="81" t="str">
        <f t="shared" si="4"/>
        <v>78 osob</v>
      </c>
      <c r="E55" s="104">
        <f t="shared" si="15"/>
        <v>354250.03240336134</v>
      </c>
      <c r="F55" s="122">
        <f>SUM($E$15:$E$24)</f>
        <v>86489</v>
      </c>
      <c r="G55" s="122">
        <f>$C55*$E$27</f>
        <v>3900</v>
      </c>
      <c r="H55" s="122">
        <f t="shared" si="5"/>
        <v>187026.30252100842</v>
      </c>
      <c r="I55" s="122">
        <f t="shared" si="6"/>
        <v>21954.705882352944</v>
      </c>
      <c r="J55" s="122">
        <f>$E$30+$B55*$E$31</f>
        <v>54880.023999999998</v>
      </c>
      <c r="K55" s="87">
        <f t="shared" si="7"/>
        <v>4541.6670820943764</v>
      </c>
      <c r="L55" s="87">
        <f t="shared" si="8"/>
        <v>303367.52918083081</v>
      </c>
      <c r="M55" s="122">
        <f t="shared" si="9"/>
        <v>71478.512396694219</v>
      </c>
      <c r="N55" s="122">
        <f>$C55*$K$27</f>
        <v>3391.304347826087</v>
      </c>
      <c r="O55" s="122">
        <f t="shared" si="10"/>
        <v>162631.56740957254</v>
      </c>
      <c r="P55" s="122">
        <f t="shared" si="11"/>
        <v>18144.385026737971</v>
      </c>
      <c r="Q55" s="122">
        <f>$K$30+$B55*$K$31</f>
        <v>47721.760000000002</v>
      </c>
      <c r="R55" s="87">
        <f t="shared" si="12"/>
        <v>3889.3272971901388</v>
      </c>
      <c r="S55" s="111"/>
      <c r="T55" s="111"/>
      <c r="U55" s="123"/>
      <c r="V55" s="87"/>
      <c r="W55" s="87"/>
      <c r="X55" s="87"/>
      <c r="Y55" s="87"/>
      <c r="Z55" s="87"/>
      <c r="AA55" s="81"/>
      <c r="AB55" s="81"/>
    </row>
    <row r="56" spans="1:28" ht="12.75" hidden="1" customHeight="1" outlineLevel="1" x14ac:dyDescent="0.25">
      <c r="A56" s="121">
        <f t="shared" si="14"/>
        <v>79</v>
      </c>
      <c r="B56" s="124">
        <f>_xlfn.CEILING.MATH((A56-30)/2,1)</f>
        <v>25</v>
      </c>
      <c r="C56" s="124">
        <f>ROUND(A56*$E$34,0)</f>
        <v>40</v>
      </c>
      <c r="D56" s="81" t="str">
        <f t="shared" si="4"/>
        <v>79 osob</v>
      </c>
      <c r="E56" s="104">
        <f t="shared" si="15"/>
        <v>358549.27710084041</v>
      </c>
      <c r="F56" s="122">
        <f>SUM($E$15:$E$24)</f>
        <v>86489</v>
      </c>
      <c r="G56" s="122">
        <f>$C56*$E$27</f>
        <v>4000</v>
      </c>
      <c r="H56" s="122">
        <f t="shared" si="5"/>
        <v>189424.0756302521</v>
      </c>
      <c r="I56" s="122">
        <f t="shared" si="6"/>
        <v>22236.176470588238</v>
      </c>
      <c r="J56" s="122">
        <f>$E$30+$B56*$E$31</f>
        <v>56400.025000000001</v>
      </c>
      <c r="K56" s="87">
        <f t="shared" si="7"/>
        <v>4538.5984443144353</v>
      </c>
      <c r="L56" s="87">
        <f t="shared" si="8"/>
        <v>307093.86611842009</v>
      </c>
      <c r="M56" s="122">
        <f t="shared" si="9"/>
        <v>71478.512396694219</v>
      </c>
      <c r="N56" s="122">
        <f>$C56*$K$27</f>
        <v>3478.2608695652175</v>
      </c>
      <c r="O56" s="122">
        <f t="shared" si="10"/>
        <v>164716.58750456705</v>
      </c>
      <c r="P56" s="122">
        <f t="shared" si="11"/>
        <v>18377.005347593586</v>
      </c>
      <c r="Q56" s="122">
        <f>$K$30+$B56*$K$31</f>
        <v>49043.5</v>
      </c>
      <c r="R56" s="87">
        <f t="shared" si="12"/>
        <v>3887.2641280812668</v>
      </c>
      <c r="S56" s="111"/>
      <c r="T56" s="111"/>
      <c r="U56" s="123"/>
      <c r="V56" s="87"/>
      <c r="W56" s="87"/>
      <c r="X56" s="87"/>
      <c r="Y56" s="87"/>
      <c r="Z56" s="87"/>
      <c r="AA56" s="81"/>
      <c r="AB56" s="81"/>
    </row>
    <row r="57" spans="1:28" ht="12.75" hidden="1" customHeight="1" outlineLevel="1" x14ac:dyDescent="0.25">
      <c r="A57" s="121">
        <f t="shared" si="14"/>
        <v>80</v>
      </c>
      <c r="B57" s="124">
        <f>_xlfn.CEILING.MATH((A57-30)/2,1)</f>
        <v>25</v>
      </c>
      <c r="C57" s="124">
        <f>ROUND(A57*$E$34,0)</f>
        <v>40</v>
      </c>
      <c r="D57" s="81" t="str">
        <f t="shared" si="4"/>
        <v>80 osob</v>
      </c>
      <c r="E57" s="104">
        <f t="shared" si="15"/>
        <v>361228.52079831937</v>
      </c>
      <c r="F57" s="122">
        <f>SUM($E$15:$E$24)</f>
        <v>86489</v>
      </c>
      <c r="G57" s="122">
        <f>$C57*$E$27</f>
        <v>4000</v>
      </c>
      <c r="H57" s="122">
        <f t="shared" si="5"/>
        <v>191821.84873949579</v>
      </c>
      <c r="I57" s="122">
        <f t="shared" si="6"/>
        <v>22517.647058823532</v>
      </c>
      <c r="J57" s="122">
        <f>$E$30+$B57*$E$31</f>
        <v>56400.025000000001</v>
      </c>
      <c r="K57" s="87">
        <f t="shared" si="7"/>
        <v>4515.3565099789921</v>
      </c>
      <c r="L57" s="87">
        <f t="shared" si="8"/>
        <v>309411.50653427024</v>
      </c>
      <c r="M57" s="122">
        <f t="shared" si="9"/>
        <v>71478.512396694219</v>
      </c>
      <c r="N57" s="122">
        <f>$C57*$K$27</f>
        <v>3478.2608695652175</v>
      </c>
      <c r="O57" s="122">
        <f t="shared" si="10"/>
        <v>166801.60759956157</v>
      </c>
      <c r="P57" s="122">
        <f t="shared" si="11"/>
        <v>18609.6256684492</v>
      </c>
      <c r="Q57" s="122">
        <f>$K$30+$B57*$K$31</f>
        <v>49043.5</v>
      </c>
      <c r="R57" s="87">
        <f t="shared" si="12"/>
        <v>3867.6438316783779</v>
      </c>
      <c r="S57" s="111"/>
      <c r="T57" s="111"/>
      <c r="U57" s="123"/>
      <c r="V57" s="87"/>
      <c r="W57" s="87"/>
      <c r="X57" s="87"/>
      <c r="Y57" s="87"/>
      <c r="Z57" s="87"/>
      <c r="AA57" s="81"/>
      <c r="AB57" s="81"/>
    </row>
    <row r="58" spans="1:28" ht="12.75" hidden="1" customHeight="1" outlineLevel="1" x14ac:dyDescent="0.25">
      <c r="A58" s="121">
        <f t="shared" si="14"/>
        <v>81</v>
      </c>
      <c r="B58" s="124">
        <f>_xlfn.CEILING.MATH((A58-30)/2,1)</f>
        <v>26</v>
      </c>
      <c r="C58" s="124">
        <f>ROUND(A58*$E$34,0)</f>
        <v>41</v>
      </c>
      <c r="D58" s="81" t="str">
        <f t="shared" si="4"/>
        <v>81 osob</v>
      </c>
      <c r="E58" s="104">
        <f t="shared" si="15"/>
        <v>365527.76549579838</v>
      </c>
      <c r="F58" s="122">
        <f>SUM($E$15:$E$24)</f>
        <v>86489</v>
      </c>
      <c r="G58" s="122">
        <f>$C58*$E$27</f>
        <v>4100</v>
      </c>
      <c r="H58" s="122">
        <f t="shared" si="5"/>
        <v>194219.62184873951</v>
      </c>
      <c r="I58" s="122">
        <f t="shared" si="6"/>
        <v>22799.117647058825</v>
      </c>
      <c r="J58" s="122">
        <f>$E$30+$B58*$E$31</f>
        <v>57920.025999999998</v>
      </c>
      <c r="K58" s="87">
        <f t="shared" si="7"/>
        <v>4512.6884629110909</v>
      </c>
      <c r="L58" s="87">
        <f t="shared" si="8"/>
        <v>313137.84347185947</v>
      </c>
      <c r="M58" s="122">
        <f t="shared" si="9"/>
        <v>71478.512396694219</v>
      </c>
      <c r="N58" s="122">
        <f>$C58*$K$27</f>
        <v>3565.217391304348</v>
      </c>
      <c r="O58" s="122">
        <f t="shared" si="10"/>
        <v>168886.62769455608</v>
      </c>
      <c r="P58" s="122">
        <f t="shared" si="11"/>
        <v>18842.245989304814</v>
      </c>
      <c r="Q58" s="122">
        <f>$K$30+$B58*$K$31</f>
        <v>50365.24</v>
      </c>
      <c r="R58" s="87">
        <f t="shared" si="12"/>
        <v>3865.8993021217216</v>
      </c>
      <c r="S58" s="111"/>
      <c r="T58" s="111"/>
      <c r="U58" s="123"/>
      <c r="V58" s="87"/>
      <c r="W58" s="87"/>
      <c r="X58" s="87"/>
      <c r="Y58" s="87"/>
      <c r="Z58" s="87"/>
      <c r="AA58" s="81"/>
      <c r="AB58" s="81"/>
    </row>
    <row r="59" spans="1:28" ht="12.75" hidden="1" customHeight="1" outlineLevel="1" x14ac:dyDescent="0.25">
      <c r="A59" s="121">
        <f t="shared" si="14"/>
        <v>82</v>
      </c>
      <c r="B59" s="124">
        <f>_xlfn.CEILING.MATH((A59-30)/2,1)</f>
        <v>26</v>
      </c>
      <c r="C59" s="124">
        <f>ROUND(A59*$E$34,0)</f>
        <v>41</v>
      </c>
      <c r="D59" s="81" t="str">
        <f t="shared" si="4"/>
        <v>82 osob</v>
      </c>
      <c r="E59" s="104">
        <f t="shared" si="15"/>
        <v>368207.00919327728</v>
      </c>
      <c r="F59" s="122">
        <f>SUM($E$15:$E$24)</f>
        <v>86489</v>
      </c>
      <c r="G59" s="122">
        <f>$C59*$E$27</f>
        <v>4100</v>
      </c>
      <c r="H59" s="122">
        <f t="shared" si="5"/>
        <v>196617.3949579832</v>
      </c>
      <c r="I59" s="122">
        <f t="shared" si="6"/>
        <v>23080.588235294119</v>
      </c>
      <c r="J59" s="122">
        <f>$E$30+$B59*$E$31</f>
        <v>57920.025999999998</v>
      </c>
      <c r="K59" s="87">
        <f t="shared" si="7"/>
        <v>4490.3293804058203</v>
      </c>
      <c r="L59" s="87">
        <f t="shared" si="8"/>
        <v>315455.48388770962</v>
      </c>
      <c r="M59" s="122">
        <f t="shared" si="9"/>
        <v>71478.512396694219</v>
      </c>
      <c r="N59" s="122">
        <f>$C59*$K$27</f>
        <v>3565.217391304348</v>
      </c>
      <c r="O59" s="122">
        <f t="shared" si="10"/>
        <v>170971.64778955063</v>
      </c>
      <c r="P59" s="122">
        <f t="shared" si="11"/>
        <v>19074.866310160429</v>
      </c>
      <c r="Q59" s="122">
        <f>$K$30+$B59*$K$31</f>
        <v>50365.24</v>
      </c>
      <c r="R59" s="87">
        <f t="shared" si="12"/>
        <v>3847.0180961915808</v>
      </c>
      <c r="S59" s="111"/>
      <c r="T59" s="111"/>
      <c r="U59" s="123"/>
      <c r="V59" s="87"/>
      <c r="W59" s="87"/>
      <c r="X59" s="87"/>
      <c r="Y59" s="87"/>
      <c r="Z59" s="87"/>
      <c r="AA59" s="81"/>
      <c r="AB59" s="81"/>
    </row>
    <row r="60" spans="1:28" ht="12.75" hidden="1" customHeight="1" outlineLevel="1" x14ac:dyDescent="0.25">
      <c r="A60" s="121">
        <f t="shared" si="14"/>
        <v>83</v>
      </c>
      <c r="B60" s="124">
        <f>_xlfn.CEILING.MATH((A60-30)/2,1)</f>
        <v>27</v>
      </c>
      <c r="C60" s="124">
        <f>ROUND(A60*$E$34,0)</f>
        <v>42</v>
      </c>
      <c r="D60" s="81" t="str">
        <f t="shared" si="4"/>
        <v>83 osob</v>
      </c>
      <c r="E60" s="104">
        <f t="shared" si="15"/>
        <v>372506.25389075628</v>
      </c>
      <c r="F60" s="122">
        <f>SUM($E$15:$E$24)</f>
        <v>86489</v>
      </c>
      <c r="G60" s="122">
        <f>$C60*$E$27</f>
        <v>4200</v>
      </c>
      <c r="H60" s="122">
        <f t="shared" si="5"/>
        <v>199015.16806722688</v>
      </c>
      <c r="I60" s="122">
        <f t="shared" si="6"/>
        <v>23362.058823529413</v>
      </c>
      <c r="J60" s="122">
        <f>$E$30+$B60*$E$31</f>
        <v>59440.027000000002</v>
      </c>
      <c r="K60" s="87">
        <f t="shared" si="7"/>
        <v>4488.0271553103166</v>
      </c>
      <c r="L60" s="87">
        <f t="shared" si="8"/>
        <v>319181.8208252989</v>
      </c>
      <c r="M60" s="122">
        <f t="shared" si="9"/>
        <v>71478.512396694219</v>
      </c>
      <c r="N60" s="122">
        <f>$C60*$K$27</f>
        <v>3652.1739130434785</v>
      </c>
      <c r="O60" s="122">
        <f t="shared" si="10"/>
        <v>173056.66788454514</v>
      </c>
      <c r="P60" s="122">
        <f t="shared" si="11"/>
        <v>19307.486631016047</v>
      </c>
      <c r="Q60" s="122">
        <f>$K$30+$B60*$K$31</f>
        <v>51686.98</v>
      </c>
      <c r="R60" s="87">
        <f t="shared" si="12"/>
        <v>3845.5641063289022</v>
      </c>
      <c r="S60" s="111"/>
      <c r="T60" s="111"/>
      <c r="U60" s="123"/>
      <c r="V60" s="87"/>
      <c r="W60" s="87"/>
      <c r="X60" s="87"/>
      <c r="Y60" s="87"/>
      <c r="Z60" s="87"/>
      <c r="AA60" s="81"/>
      <c r="AB60" s="81"/>
    </row>
    <row r="61" spans="1:28" ht="12.75" hidden="1" customHeight="1" outlineLevel="1" x14ac:dyDescent="0.25">
      <c r="A61" s="121">
        <f t="shared" si="14"/>
        <v>84</v>
      </c>
      <c r="B61" s="124">
        <f>_xlfn.CEILING.MATH((A61-30)/2,1)</f>
        <v>27</v>
      </c>
      <c r="C61" s="124">
        <f>ROUND(A61*$E$34,0)</f>
        <v>42</v>
      </c>
      <c r="D61" s="81" t="str">
        <f t="shared" si="4"/>
        <v>84 osob</v>
      </c>
      <c r="E61" s="104">
        <f t="shared" si="15"/>
        <v>375185.4975882353</v>
      </c>
      <c r="F61" s="122">
        <f>SUM($E$15:$E$24)</f>
        <v>86489</v>
      </c>
      <c r="G61" s="122">
        <f>$C61*$E$27</f>
        <v>4200</v>
      </c>
      <c r="H61" s="122">
        <f t="shared" si="5"/>
        <v>201412.9411764706</v>
      </c>
      <c r="I61" s="122">
        <f t="shared" si="6"/>
        <v>23643.529411764706</v>
      </c>
      <c r="J61" s="122">
        <f>$E$30+$B61*$E$31</f>
        <v>59440.027000000002</v>
      </c>
      <c r="K61" s="87">
        <f t="shared" si="7"/>
        <v>4466.4940189075633</v>
      </c>
      <c r="L61" s="87">
        <f t="shared" si="8"/>
        <v>321499.46124114899</v>
      </c>
      <c r="M61" s="122">
        <f t="shared" si="9"/>
        <v>71478.512396694219</v>
      </c>
      <c r="N61" s="122">
        <f>$C61*$K$27</f>
        <v>3652.1739130434785</v>
      </c>
      <c r="O61" s="122">
        <f t="shared" si="10"/>
        <v>175141.68797953965</v>
      </c>
      <c r="P61" s="122">
        <f t="shared" si="11"/>
        <v>19540.106951871661</v>
      </c>
      <c r="Q61" s="122">
        <f>$K$30+$B61*$K$31</f>
        <v>51686.98</v>
      </c>
      <c r="R61" s="87">
        <f t="shared" si="12"/>
        <v>3827.3745385851071</v>
      </c>
      <c r="S61" s="111"/>
      <c r="T61" s="111"/>
      <c r="U61" s="123"/>
      <c r="V61" s="87"/>
      <c r="W61" s="87"/>
      <c r="X61" s="87"/>
      <c r="Y61" s="87"/>
      <c r="Z61" s="87"/>
      <c r="AA61" s="81"/>
      <c r="AB61" s="81"/>
    </row>
    <row r="62" spans="1:28" ht="12.75" hidden="1" customHeight="1" outlineLevel="1" x14ac:dyDescent="0.25">
      <c r="A62" s="121">
        <f t="shared" si="14"/>
        <v>85</v>
      </c>
      <c r="B62" s="124">
        <f>_xlfn.CEILING.MATH((A62-30)/2,1)</f>
        <v>28</v>
      </c>
      <c r="C62" s="124">
        <f>ROUND(A62*$E$34,0)</f>
        <v>43</v>
      </c>
      <c r="D62" s="81" t="str">
        <f t="shared" si="4"/>
        <v>85 osob</v>
      </c>
      <c r="E62" s="104">
        <f t="shared" si="15"/>
        <v>379484.74228571431</v>
      </c>
      <c r="F62" s="122">
        <f>SUM($E$15:$E$24)</f>
        <v>86489</v>
      </c>
      <c r="G62" s="122">
        <f>$C62*$E$27</f>
        <v>4300</v>
      </c>
      <c r="H62" s="122">
        <f t="shared" si="5"/>
        <v>203810.71428571429</v>
      </c>
      <c r="I62" s="122">
        <f t="shared" si="6"/>
        <v>23925.000000000004</v>
      </c>
      <c r="J62" s="122">
        <f>$E$30+$B62*$E$31</f>
        <v>60960.027999999998</v>
      </c>
      <c r="K62" s="87">
        <f t="shared" si="7"/>
        <v>4464.5263798319329</v>
      </c>
      <c r="L62" s="87">
        <f t="shared" si="8"/>
        <v>325225.79817873833</v>
      </c>
      <c r="M62" s="122">
        <f t="shared" si="9"/>
        <v>71478.512396694219</v>
      </c>
      <c r="N62" s="122">
        <f>$C62*$K$27</f>
        <v>3739.130434782609</v>
      </c>
      <c r="O62" s="122">
        <f t="shared" si="10"/>
        <v>177226.70807453417</v>
      </c>
      <c r="P62" s="122">
        <f t="shared" si="11"/>
        <v>19772.727272727276</v>
      </c>
      <c r="Q62" s="122">
        <f>$K$30+$B62*$K$31</f>
        <v>53008.72</v>
      </c>
      <c r="R62" s="87">
        <f t="shared" si="12"/>
        <v>3826.1858609263331</v>
      </c>
      <c r="S62" s="111"/>
      <c r="T62" s="111"/>
      <c r="U62" s="123"/>
      <c r="V62" s="87"/>
      <c r="W62" s="87"/>
      <c r="X62" s="87"/>
      <c r="Y62" s="87"/>
      <c r="Z62" s="87"/>
      <c r="AA62" s="81"/>
      <c r="AB62" s="81"/>
    </row>
    <row r="63" spans="1:28" ht="12.75" hidden="1" customHeight="1" outlineLevel="1" x14ac:dyDescent="0.25">
      <c r="A63" s="121">
        <f t="shared" si="14"/>
        <v>86</v>
      </c>
      <c r="B63" s="124">
        <f>_xlfn.CEILING.MATH((A63-30)/2,1)</f>
        <v>28</v>
      </c>
      <c r="C63" s="124">
        <f>ROUND(A63*$E$34,0)</f>
        <v>43</v>
      </c>
      <c r="D63" s="81" t="str">
        <f t="shared" si="4"/>
        <v>86 osob</v>
      </c>
      <c r="E63" s="104">
        <f t="shared" si="15"/>
        <v>382163.98598319327</v>
      </c>
      <c r="F63" s="122">
        <f>SUM($E$15:$E$24)</f>
        <v>86489</v>
      </c>
      <c r="G63" s="122">
        <f>$C63*$E$27</f>
        <v>4300</v>
      </c>
      <c r="H63" s="122">
        <f t="shared" si="5"/>
        <v>206208.48739495798</v>
      </c>
      <c r="I63" s="122">
        <f t="shared" si="6"/>
        <v>24206.470588235297</v>
      </c>
      <c r="J63" s="122">
        <f>$E$30+$B63*$E$31</f>
        <v>60960.027999999998</v>
      </c>
      <c r="K63" s="87">
        <f t="shared" si="7"/>
        <v>4443.7672788743403</v>
      </c>
      <c r="L63" s="87">
        <f t="shared" si="8"/>
        <v>327543.43859458843</v>
      </c>
      <c r="M63" s="122">
        <f t="shared" si="9"/>
        <v>71478.512396694219</v>
      </c>
      <c r="N63" s="122">
        <f>$C63*$K$27</f>
        <v>3739.130434782609</v>
      </c>
      <c r="O63" s="122">
        <f t="shared" si="10"/>
        <v>179311.72816952868</v>
      </c>
      <c r="P63" s="122">
        <f t="shared" si="11"/>
        <v>20005.34759358289</v>
      </c>
      <c r="Q63" s="122">
        <f>$K$30+$B63*$K$31</f>
        <v>53008.72</v>
      </c>
      <c r="R63" s="87">
        <f t="shared" si="12"/>
        <v>3808.6446348207955</v>
      </c>
      <c r="S63" s="111"/>
      <c r="T63" s="111"/>
      <c r="U63" s="123"/>
      <c r="V63" s="87"/>
      <c r="W63" s="87"/>
      <c r="X63" s="87"/>
      <c r="Y63" s="87"/>
      <c r="Z63" s="87"/>
      <c r="AA63" s="81"/>
      <c r="AB63" s="81"/>
    </row>
    <row r="64" spans="1:28" ht="12.75" hidden="1" customHeight="1" outlineLevel="1" x14ac:dyDescent="0.25">
      <c r="A64" s="121">
        <f t="shared" si="14"/>
        <v>87</v>
      </c>
      <c r="B64" s="124">
        <f>_xlfn.CEILING.MATH((A64-30)/2,1)</f>
        <v>29</v>
      </c>
      <c r="C64" s="124">
        <f>ROUND(A64*$E$34,0)</f>
        <v>44</v>
      </c>
      <c r="D64" s="81" t="str">
        <f t="shared" si="4"/>
        <v>87 osob</v>
      </c>
      <c r="E64" s="104">
        <f t="shared" si="15"/>
        <v>386463.23068067228</v>
      </c>
      <c r="F64" s="122">
        <f>SUM($E$15:$E$24)</f>
        <v>86489</v>
      </c>
      <c r="G64" s="122">
        <f>$C64*$E$27</f>
        <v>4400</v>
      </c>
      <c r="H64" s="122">
        <f t="shared" si="5"/>
        <v>208606.26050420169</v>
      </c>
      <c r="I64" s="122">
        <f t="shared" si="6"/>
        <v>24487.941176470591</v>
      </c>
      <c r="J64" s="122">
        <f>$E$30+$B64*$E$31</f>
        <v>62480.029000000002</v>
      </c>
      <c r="K64" s="87">
        <f t="shared" si="7"/>
        <v>4442.1060997778422</v>
      </c>
      <c r="L64" s="87">
        <f t="shared" si="8"/>
        <v>331269.77553217771</v>
      </c>
      <c r="M64" s="122">
        <f t="shared" si="9"/>
        <v>71478.512396694219</v>
      </c>
      <c r="N64" s="122">
        <f>$C64*$K$27</f>
        <v>3826.086956521739</v>
      </c>
      <c r="O64" s="122">
        <f t="shared" si="10"/>
        <v>181396.74826452322</v>
      </c>
      <c r="P64" s="122">
        <f t="shared" si="11"/>
        <v>20237.967914438505</v>
      </c>
      <c r="Q64" s="122">
        <f>$K$30+$B64*$K$31</f>
        <v>54330.46</v>
      </c>
      <c r="R64" s="87">
        <f t="shared" si="12"/>
        <v>3807.6985693353759</v>
      </c>
      <c r="S64" s="111"/>
      <c r="T64" s="111"/>
      <c r="U64" s="123"/>
      <c r="V64" s="87"/>
      <c r="W64" s="87"/>
      <c r="X64" s="87"/>
      <c r="Y64" s="87"/>
      <c r="Z64" s="87"/>
      <c r="AA64" s="81"/>
      <c r="AB64" s="81"/>
    </row>
    <row r="65" spans="1:28" ht="12.75" hidden="1" customHeight="1" outlineLevel="1" x14ac:dyDescent="0.25">
      <c r="A65" s="121">
        <f t="shared" si="14"/>
        <v>88</v>
      </c>
      <c r="B65" s="124">
        <f>_xlfn.CEILING.MATH((A65-30)/2,1)</f>
        <v>29</v>
      </c>
      <c r="C65" s="124">
        <f>ROUND(A65*$E$34,0)</f>
        <v>44</v>
      </c>
      <c r="D65" s="81" t="str">
        <f t="shared" si="4"/>
        <v>88 osob</v>
      </c>
      <c r="E65" s="104">
        <f t="shared" si="15"/>
        <v>389142.47437815124</v>
      </c>
      <c r="F65" s="122">
        <f>SUM($E$15:$E$24)</f>
        <v>86489</v>
      </c>
      <c r="G65" s="122">
        <f>$C65*$E$27</f>
        <v>4400</v>
      </c>
      <c r="H65" s="122">
        <f t="shared" si="5"/>
        <v>211004.03361344538</v>
      </c>
      <c r="I65" s="122">
        <f t="shared" si="6"/>
        <v>24769.411764705885</v>
      </c>
      <c r="J65" s="122">
        <f>$E$30+$B65*$E$31</f>
        <v>62480.029000000002</v>
      </c>
      <c r="K65" s="87">
        <f t="shared" si="7"/>
        <v>4422.0735724789911</v>
      </c>
      <c r="L65" s="87">
        <f t="shared" si="8"/>
        <v>333587.4159480278</v>
      </c>
      <c r="M65" s="122">
        <f t="shared" si="9"/>
        <v>71478.512396694219</v>
      </c>
      <c r="N65" s="122">
        <f>$C65*$K$27</f>
        <v>3826.086956521739</v>
      </c>
      <c r="O65" s="122">
        <f t="shared" si="10"/>
        <v>183481.76835951774</v>
      </c>
      <c r="P65" s="122">
        <f t="shared" si="11"/>
        <v>20470.588235294119</v>
      </c>
      <c r="Q65" s="122">
        <f>$K$30+$B65*$K$31</f>
        <v>54330.46</v>
      </c>
      <c r="R65" s="87">
        <f t="shared" si="12"/>
        <v>3790.7660903184978</v>
      </c>
      <c r="S65" s="111"/>
      <c r="T65" s="111"/>
      <c r="U65" s="123"/>
      <c r="V65" s="87"/>
      <c r="W65" s="87"/>
      <c r="X65" s="87"/>
      <c r="Y65" s="87"/>
      <c r="Z65" s="87"/>
      <c r="AA65" s="81"/>
      <c r="AB65" s="81"/>
    </row>
    <row r="66" spans="1:28" ht="12.75" hidden="1" customHeight="1" outlineLevel="1" x14ac:dyDescent="0.25">
      <c r="A66" s="121">
        <f t="shared" si="14"/>
        <v>89</v>
      </c>
      <c r="B66" s="124">
        <f>_xlfn.CEILING.MATH((A66-30)/2,1)</f>
        <v>30</v>
      </c>
      <c r="C66" s="124">
        <f>ROUND(A66*$E$34,0)</f>
        <v>45</v>
      </c>
      <c r="D66" s="81" t="str">
        <f t="shared" si="4"/>
        <v>89 osob</v>
      </c>
      <c r="E66" s="104">
        <f t="shared" si="15"/>
        <v>393441.7190756303</v>
      </c>
      <c r="F66" s="122">
        <f>SUM($E$15:$E$24)</f>
        <v>86489</v>
      </c>
      <c r="G66" s="122">
        <f>$C66*$E$27</f>
        <v>4500</v>
      </c>
      <c r="H66" s="122">
        <f t="shared" si="5"/>
        <v>213401.80672268907</v>
      </c>
      <c r="I66" s="122">
        <f t="shared" si="6"/>
        <v>25050.882352941178</v>
      </c>
      <c r="J66" s="122">
        <f>$E$30+$B66*$E$31</f>
        <v>64000.03</v>
      </c>
      <c r="K66" s="87">
        <f t="shared" si="7"/>
        <v>4420.6934727598909</v>
      </c>
      <c r="L66" s="87">
        <f t="shared" si="8"/>
        <v>337313.75288561708</v>
      </c>
      <c r="M66" s="122">
        <f t="shared" si="9"/>
        <v>71478.512396694219</v>
      </c>
      <c r="N66" s="122">
        <f>$C66*$K$27</f>
        <v>3913.0434782608695</v>
      </c>
      <c r="O66" s="122">
        <f t="shared" si="10"/>
        <v>185566.78845451225</v>
      </c>
      <c r="P66" s="122">
        <f t="shared" si="11"/>
        <v>20703.208556149737</v>
      </c>
      <c r="Q66" s="122">
        <f>$K$30+$B66*$K$31</f>
        <v>55652.2</v>
      </c>
      <c r="R66" s="87">
        <f t="shared" si="12"/>
        <v>3790.0421672541247</v>
      </c>
      <c r="S66" s="111"/>
      <c r="T66" s="111"/>
      <c r="U66" s="123"/>
      <c r="V66" s="87"/>
      <c r="W66" s="87"/>
      <c r="X66" s="87"/>
      <c r="Y66" s="87"/>
      <c r="Z66" s="87"/>
      <c r="AA66" s="81"/>
      <c r="AB66" s="81"/>
    </row>
    <row r="67" spans="1:28" ht="12.75" hidden="1" customHeight="1" outlineLevel="1" x14ac:dyDescent="0.25">
      <c r="A67" s="121">
        <f t="shared" si="14"/>
        <v>90</v>
      </c>
      <c r="B67" s="124">
        <f>_xlfn.CEILING.MATH((A67-30)/2,1)</f>
        <v>30</v>
      </c>
      <c r="C67" s="124">
        <f>ROUND(A67*$E$34,0)</f>
        <v>45</v>
      </c>
      <c r="D67" s="81" t="str">
        <f t="shared" si="4"/>
        <v>90 osob</v>
      </c>
      <c r="E67" s="104">
        <f t="shared" si="15"/>
        <v>396120.9627731092</v>
      </c>
      <c r="F67" s="122">
        <f>SUM($E$15:$E$24)</f>
        <v>86489</v>
      </c>
      <c r="G67" s="122">
        <f>$C67*$E$27</f>
        <v>4500</v>
      </c>
      <c r="H67" s="122">
        <f t="shared" si="5"/>
        <v>215799.57983193279</v>
      </c>
      <c r="I67" s="122">
        <f t="shared" si="6"/>
        <v>25332.352941176472</v>
      </c>
      <c r="J67" s="122">
        <f>$E$30+$B67*$E$31</f>
        <v>64000.03</v>
      </c>
      <c r="K67" s="87">
        <f t="shared" si="7"/>
        <v>4401.3440308123245</v>
      </c>
      <c r="L67" s="87">
        <f t="shared" si="8"/>
        <v>339631.39330146724</v>
      </c>
      <c r="M67" s="122">
        <f t="shared" si="9"/>
        <v>71478.512396694219</v>
      </c>
      <c r="N67" s="122">
        <f>$C67*$K$27</f>
        <v>3913.0434782608695</v>
      </c>
      <c r="O67" s="122">
        <f t="shared" si="10"/>
        <v>187651.80854950676</v>
      </c>
      <c r="P67" s="122">
        <f t="shared" si="11"/>
        <v>20935.828877005351</v>
      </c>
      <c r="Q67" s="122">
        <f>$K$30+$B67*$K$31</f>
        <v>55652.2</v>
      </c>
      <c r="R67" s="87">
        <f t="shared" si="12"/>
        <v>3773.6821477940803</v>
      </c>
      <c r="S67" s="111"/>
      <c r="T67" s="111"/>
      <c r="U67" s="123"/>
      <c r="V67" s="87"/>
      <c r="W67" s="87"/>
      <c r="X67" s="87"/>
      <c r="Y67" s="87"/>
      <c r="Z67" s="87"/>
      <c r="AA67" s="81"/>
      <c r="AB67" s="81"/>
    </row>
    <row r="68" spans="1:28" ht="12.75" hidden="1" customHeight="1" outlineLevel="1" x14ac:dyDescent="0.25">
      <c r="A68" s="121">
        <f t="shared" si="14"/>
        <v>91</v>
      </c>
      <c r="B68" s="124">
        <f>_xlfn.CEILING.MATH((A68-30)/2,1)</f>
        <v>31</v>
      </c>
      <c r="C68" s="124">
        <f>ROUND(A68*$E$34,0)</f>
        <v>46</v>
      </c>
      <c r="D68" s="81" t="str">
        <f t="shared" si="4"/>
        <v>91 osob</v>
      </c>
      <c r="E68" s="104">
        <f t="shared" si="15"/>
        <v>400420.20747058827</v>
      </c>
      <c r="F68" s="122">
        <f>SUM($E$15:$E$24)</f>
        <v>86489</v>
      </c>
      <c r="G68" s="122">
        <f>$C68*$E$27</f>
        <v>4600</v>
      </c>
      <c r="H68" s="122">
        <f t="shared" si="5"/>
        <v>218197.35294117648</v>
      </c>
      <c r="I68" s="122">
        <f t="shared" si="6"/>
        <v>25613.823529411766</v>
      </c>
      <c r="J68" s="122">
        <f>$E$30+$B68*$E$31</f>
        <v>65520.031000000003</v>
      </c>
      <c r="K68" s="87">
        <f t="shared" si="7"/>
        <v>4400.2220601163544</v>
      </c>
      <c r="L68" s="87">
        <f t="shared" si="8"/>
        <v>343357.73023905646</v>
      </c>
      <c r="M68" s="122">
        <f t="shared" si="9"/>
        <v>71478.512396694219</v>
      </c>
      <c r="N68" s="122">
        <f>$C68*$K$27</f>
        <v>4000</v>
      </c>
      <c r="O68" s="122">
        <f t="shared" si="10"/>
        <v>189736.82864450128</v>
      </c>
      <c r="P68" s="122">
        <f t="shared" si="11"/>
        <v>21168.449197860966</v>
      </c>
      <c r="Q68" s="122">
        <f>$K$30+$B68*$K$31</f>
        <v>56973.94</v>
      </c>
      <c r="R68" s="87">
        <f t="shared" si="12"/>
        <v>3773.1618707588623</v>
      </c>
      <c r="S68" s="111"/>
      <c r="T68" s="111"/>
      <c r="U68" s="123"/>
      <c r="V68" s="87"/>
      <c r="W68" s="87"/>
      <c r="X68" s="87"/>
      <c r="Y68" s="87"/>
      <c r="Z68" s="87"/>
      <c r="AA68" s="81"/>
      <c r="AB68" s="81"/>
    </row>
    <row r="69" spans="1:28" ht="12.75" hidden="1" customHeight="1" outlineLevel="1" x14ac:dyDescent="0.25">
      <c r="A69" s="121">
        <f t="shared" si="14"/>
        <v>92</v>
      </c>
      <c r="B69" s="124">
        <f>_xlfn.CEILING.MATH((A69-30)/2,1)</f>
        <v>31</v>
      </c>
      <c r="C69" s="124">
        <f>ROUND(A69*$E$34,0)</f>
        <v>46</v>
      </c>
      <c r="D69" s="81" t="str">
        <f t="shared" si="4"/>
        <v>92 osob</v>
      </c>
      <c r="E69" s="104">
        <f t="shared" si="15"/>
        <v>403099.45116806723</v>
      </c>
      <c r="F69" s="122">
        <f>SUM($E$15:$E$24)</f>
        <v>86489</v>
      </c>
      <c r="G69" s="122">
        <f>$C69*$E$27</f>
        <v>4600</v>
      </c>
      <c r="H69" s="122">
        <f t="shared" si="5"/>
        <v>220595.12605042016</v>
      </c>
      <c r="I69" s="122">
        <f t="shared" si="6"/>
        <v>25895.294117647063</v>
      </c>
      <c r="J69" s="122">
        <f>$E$30+$B69*$E$31</f>
        <v>65520.031000000003</v>
      </c>
      <c r="K69" s="87">
        <f t="shared" si="7"/>
        <v>4381.5157735659477</v>
      </c>
      <c r="L69" s="87">
        <f t="shared" si="8"/>
        <v>345675.37065490661</v>
      </c>
      <c r="M69" s="122">
        <f t="shared" si="9"/>
        <v>71478.512396694219</v>
      </c>
      <c r="N69" s="122">
        <f>$C69*$K$27</f>
        <v>4000</v>
      </c>
      <c r="O69" s="122">
        <f t="shared" si="10"/>
        <v>191821.84873949582</v>
      </c>
      <c r="P69" s="122">
        <f t="shared" si="11"/>
        <v>21401.06951871658</v>
      </c>
      <c r="Q69" s="122">
        <f>$K$30+$B69*$K$31</f>
        <v>56973.94</v>
      </c>
      <c r="R69" s="87">
        <f t="shared" si="12"/>
        <v>3757.3409853794196</v>
      </c>
      <c r="S69" s="111"/>
      <c r="T69" s="111"/>
      <c r="U69" s="123"/>
      <c r="V69" s="87"/>
      <c r="W69" s="87"/>
      <c r="X69" s="87"/>
      <c r="Y69" s="87"/>
      <c r="Z69" s="87"/>
      <c r="AA69" s="81"/>
      <c r="AB69" s="81"/>
    </row>
    <row r="70" spans="1:28" ht="12.75" hidden="1" customHeight="1" outlineLevel="1" x14ac:dyDescent="0.25">
      <c r="A70" s="121">
        <f t="shared" si="14"/>
        <v>93</v>
      </c>
      <c r="B70" s="124">
        <f>_xlfn.CEILING.MATH((A70-30)/2,1)</f>
        <v>32</v>
      </c>
      <c r="C70" s="124">
        <f>ROUND(A70*$E$34,0)</f>
        <v>47</v>
      </c>
      <c r="D70" s="81" t="str">
        <f t="shared" si="4"/>
        <v>93 osob</v>
      </c>
      <c r="E70" s="104">
        <f t="shared" si="15"/>
        <v>407398.69586554624</v>
      </c>
      <c r="F70" s="122">
        <f>SUM($E$15:$E$24)</f>
        <v>86489</v>
      </c>
      <c r="G70" s="122">
        <f>$C70*$E$27</f>
        <v>4700</v>
      </c>
      <c r="H70" s="122">
        <f t="shared" si="5"/>
        <v>222992.89915966388</v>
      </c>
      <c r="I70" s="122">
        <f t="shared" si="6"/>
        <v>26176.764705882357</v>
      </c>
      <c r="J70" s="122">
        <f>$E$30+$B70*$E$31</f>
        <v>67040.032000000007</v>
      </c>
      <c r="K70" s="87">
        <f t="shared" si="7"/>
        <v>4380.6311383392067</v>
      </c>
      <c r="L70" s="87">
        <f t="shared" si="8"/>
        <v>349401.70759249589</v>
      </c>
      <c r="M70" s="122">
        <f t="shared" si="9"/>
        <v>71478.512396694219</v>
      </c>
      <c r="N70" s="122">
        <f>$C70*$K$27</f>
        <v>4086.9565217391305</v>
      </c>
      <c r="O70" s="122">
        <f t="shared" si="10"/>
        <v>193906.86883449033</v>
      </c>
      <c r="P70" s="122">
        <f t="shared" si="11"/>
        <v>21633.689839572195</v>
      </c>
      <c r="Q70" s="122">
        <f>$K$30+$B70*$K$31</f>
        <v>58295.68</v>
      </c>
      <c r="R70" s="87">
        <f t="shared" si="12"/>
        <v>3757.0076085214614</v>
      </c>
      <c r="S70" s="111"/>
      <c r="T70" s="111"/>
      <c r="U70" s="123"/>
      <c r="V70" s="87"/>
      <c r="W70" s="87"/>
      <c r="X70" s="87"/>
      <c r="Y70" s="87"/>
      <c r="Z70" s="87"/>
      <c r="AA70" s="81"/>
      <c r="AB70" s="81"/>
    </row>
    <row r="71" spans="1:28" ht="12.75" hidden="1" customHeight="1" outlineLevel="1" x14ac:dyDescent="0.25">
      <c r="A71" s="121">
        <f t="shared" si="14"/>
        <v>94</v>
      </c>
      <c r="B71" s="124">
        <f>_xlfn.CEILING.MATH((A71-30)/2,1)</f>
        <v>32</v>
      </c>
      <c r="C71" s="124">
        <f>ROUND(A71*$E$34,0)</f>
        <v>47</v>
      </c>
      <c r="D71" s="81" t="str">
        <f t="shared" si="4"/>
        <v>94 osob</v>
      </c>
      <c r="E71" s="104">
        <f t="shared" si="15"/>
        <v>410077.9395630252</v>
      </c>
      <c r="F71" s="122">
        <f>SUM($E$15:$E$24)</f>
        <v>86489</v>
      </c>
      <c r="G71" s="122">
        <f>$C71*$E$27</f>
        <v>4700</v>
      </c>
      <c r="H71" s="122">
        <f t="shared" si="5"/>
        <v>225390.67226890757</v>
      </c>
      <c r="I71" s="122">
        <f t="shared" si="6"/>
        <v>26458.23529411765</v>
      </c>
      <c r="J71" s="122">
        <f>$E$30+$B71*$E$31</f>
        <v>67040.032000000007</v>
      </c>
      <c r="K71" s="87">
        <f t="shared" si="7"/>
        <v>4362.5312719470767</v>
      </c>
      <c r="L71" s="87">
        <f t="shared" si="8"/>
        <v>351719.34800834599</v>
      </c>
      <c r="M71" s="122">
        <f t="shared" si="9"/>
        <v>71478.512396694219</v>
      </c>
      <c r="N71" s="122">
        <f>$C71*$K$27</f>
        <v>4086.9565217391305</v>
      </c>
      <c r="O71" s="122">
        <f t="shared" si="10"/>
        <v>195991.88892948485</v>
      </c>
      <c r="P71" s="122">
        <f t="shared" si="11"/>
        <v>21866.310160427809</v>
      </c>
      <c r="Q71" s="122">
        <f>$K$30+$B71*$K$31</f>
        <v>58295.68</v>
      </c>
      <c r="R71" s="87">
        <f t="shared" si="12"/>
        <v>3741.6951915781488</v>
      </c>
      <c r="S71" s="111"/>
      <c r="T71" s="111"/>
      <c r="U71" s="123"/>
      <c r="V71" s="87"/>
      <c r="W71" s="87"/>
      <c r="X71" s="87"/>
      <c r="Y71" s="87"/>
      <c r="Z71" s="87"/>
      <c r="AA71" s="81"/>
      <c r="AB71" s="81"/>
    </row>
    <row r="72" spans="1:28" ht="12.75" hidden="1" customHeight="1" outlineLevel="1" x14ac:dyDescent="0.25">
      <c r="A72" s="121">
        <f t="shared" si="14"/>
        <v>95</v>
      </c>
      <c r="B72" s="124">
        <f>_xlfn.CEILING.MATH((A72-30)/2,1)</f>
        <v>33</v>
      </c>
      <c r="C72" s="124">
        <f>ROUND(A72*$E$34,0)</f>
        <v>48</v>
      </c>
      <c r="D72" s="81" t="str">
        <f t="shared" si="4"/>
        <v>95 osob</v>
      </c>
      <c r="E72" s="104">
        <f t="shared" si="15"/>
        <v>414377.1842605042</v>
      </c>
      <c r="F72" s="122">
        <f>SUM($E$15:$E$24)</f>
        <v>86489</v>
      </c>
      <c r="G72" s="122">
        <f>$C72*$E$27</f>
        <v>4800</v>
      </c>
      <c r="H72" s="122">
        <f t="shared" si="5"/>
        <v>227788.44537815126</v>
      </c>
      <c r="I72" s="122">
        <f t="shared" si="6"/>
        <v>26739.705882352944</v>
      </c>
      <c r="J72" s="122">
        <f>$E$30+$B72*$E$31</f>
        <v>68560.032999999996</v>
      </c>
      <c r="K72" s="87">
        <f t="shared" si="7"/>
        <v>4361.8650974789916</v>
      </c>
      <c r="L72" s="87">
        <f t="shared" si="8"/>
        <v>355445.68494593521</v>
      </c>
      <c r="M72" s="122">
        <f t="shared" si="9"/>
        <v>71478.512396694219</v>
      </c>
      <c r="N72" s="122">
        <f>$C72*$K$27</f>
        <v>4173.913043478261</v>
      </c>
      <c r="O72" s="122">
        <f t="shared" si="10"/>
        <v>198076.90902447936</v>
      </c>
      <c r="P72" s="122">
        <f t="shared" si="11"/>
        <v>22098.930481283427</v>
      </c>
      <c r="Q72" s="122">
        <f>$K$30+$B72*$K$31</f>
        <v>59617.42</v>
      </c>
      <c r="R72" s="87">
        <f t="shared" si="12"/>
        <v>3741.5335257466863</v>
      </c>
      <c r="S72" s="111"/>
      <c r="T72" s="111"/>
      <c r="U72" s="123"/>
      <c r="V72" s="87"/>
      <c r="W72" s="87"/>
      <c r="X72" s="87"/>
      <c r="Y72" s="87"/>
      <c r="Z72" s="87"/>
      <c r="AA72" s="81"/>
      <c r="AB72" s="81"/>
    </row>
    <row r="73" spans="1:28" ht="12.75" hidden="1" customHeight="1" outlineLevel="1" x14ac:dyDescent="0.25">
      <c r="A73" s="121">
        <f t="shared" si="14"/>
        <v>96</v>
      </c>
      <c r="B73" s="124">
        <f>_xlfn.CEILING.MATH((A73-30)/2,1)</f>
        <v>33</v>
      </c>
      <c r="C73" s="124">
        <f>ROUND(A73*$E$34,0)</f>
        <v>48</v>
      </c>
      <c r="D73" s="81" t="str">
        <f t="shared" si="4"/>
        <v>96 osob</v>
      </c>
      <c r="E73" s="104">
        <f t="shared" si="15"/>
        <v>417056.42795798322</v>
      </c>
      <c r="F73" s="122">
        <f>SUM($E$15:$E$24)</f>
        <v>86489</v>
      </c>
      <c r="G73" s="122">
        <f>$C73*$E$27</f>
        <v>4800</v>
      </c>
      <c r="H73" s="122">
        <f t="shared" si="5"/>
        <v>230186.21848739497</v>
      </c>
      <c r="I73" s="122">
        <f t="shared" si="6"/>
        <v>27021.176470588238</v>
      </c>
      <c r="J73" s="122">
        <f>$E$30+$B73*$E$31</f>
        <v>68560.032999999996</v>
      </c>
      <c r="K73" s="87">
        <f t="shared" si="7"/>
        <v>4344.3377912289916</v>
      </c>
      <c r="L73" s="87">
        <f t="shared" si="8"/>
        <v>357763.32536178542</v>
      </c>
      <c r="M73" s="122">
        <f t="shared" si="9"/>
        <v>71478.512396694219</v>
      </c>
      <c r="N73" s="122">
        <f>$C73*$K$27</f>
        <v>4173.913043478261</v>
      </c>
      <c r="O73" s="122">
        <f t="shared" si="10"/>
        <v>200161.92911947391</v>
      </c>
      <c r="P73" s="122">
        <f t="shared" si="11"/>
        <v>22331.550802139041</v>
      </c>
      <c r="Q73" s="122">
        <f>$K$30+$B73*$K$31</f>
        <v>59617.42</v>
      </c>
      <c r="R73" s="87">
        <f t="shared" si="12"/>
        <v>3726.7013058519315</v>
      </c>
      <c r="S73" s="111"/>
      <c r="T73" s="111"/>
      <c r="U73" s="123"/>
      <c r="V73" s="87"/>
      <c r="W73" s="87"/>
      <c r="X73" s="87"/>
      <c r="Y73" s="87"/>
      <c r="Z73" s="87"/>
      <c r="AA73" s="81"/>
      <c r="AB73" s="81"/>
    </row>
    <row r="74" spans="1:28" ht="12.75" hidden="1" customHeight="1" outlineLevel="1" x14ac:dyDescent="0.25">
      <c r="A74" s="121">
        <f t="shared" si="14"/>
        <v>97</v>
      </c>
      <c r="B74" s="124">
        <f>_xlfn.CEILING.MATH((A74-30)/2,1)</f>
        <v>34</v>
      </c>
      <c r="C74" s="124">
        <f>ROUND(A74*$E$34,0)</f>
        <v>49</v>
      </c>
      <c r="D74" s="81" t="str">
        <f t="shared" si="4"/>
        <v>97 osob</v>
      </c>
      <c r="E74" s="104">
        <f t="shared" si="15"/>
        <v>421355.67265546223</v>
      </c>
      <c r="F74" s="122">
        <f>SUM($E$15:$E$24)</f>
        <v>86489</v>
      </c>
      <c r="G74" s="122">
        <f>$C74*$E$27</f>
        <v>4900</v>
      </c>
      <c r="H74" s="122">
        <f t="shared" si="5"/>
        <v>232583.99159663866</v>
      </c>
      <c r="I74" s="122">
        <f t="shared" si="6"/>
        <v>27302.647058823532</v>
      </c>
      <c r="J74" s="122">
        <f>$E$30+$B74*$E$31</f>
        <v>70080.034</v>
      </c>
      <c r="K74" s="87">
        <f t="shared" si="7"/>
        <v>4343.8729139738371</v>
      </c>
      <c r="L74" s="87">
        <f t="shared" si="8"/>
        <v>361489.6622993747</v>
      </c>
      <c r="M74" s="122">
        <f t="shared" si="9"/>
        <v>71478.512396694219</v>
      </c>
      <c r="N74" s="122">
        <f>$C74*$K$27</f>
        <v>4260.869565217391</v>
      </c>
      <c r="O74" s="122">
        <f t="shared" si="10"/>
        <v>202246.94921446842</v>
      </c>
      <c r="P74" s="122">
        <f t="shared" si="11"/>
        <v>22564.171122994656</v>
      </c>
      <c r="Q74" s="122">
        <f>$K$30+$B74*$K$31</f>
        <v>60939.16</v>
      </c>
      <c r="R74" s="87">
        <f t="shared" si="12"/>
        <v>3726.6975494780895</v>
      </c>
      <c r="S74" s="111"/>
      <c r="T74" s="111"/>
      <c r="U74" s="123"/>
      <c r="V74" s="87"/>
      <c r="W74" s="87"/>
      <c r="X74" s="87"/>
      <c r="Y74" s="87"/>
      <c r="Z74" s="87"/>
      <c r="AA74" s="81"/>
      <c r="AB74" s="81"/>
    </row>
    <row r="75" spans="1:28" ht="12.75" hidden="1" customHeight="1" outlineLevel="1" x14ac:dyDescent="0.25">
      <c r="A75" s="121">
        <f t="shared" si="14"/>
        <v>98</v>
      </c>
      <c r="B75" s="124">
        <f>_xlfn.CEILING.MATH((A75-30)/2,1)</f>
        <v>34</v>
      </c>
      <c r="C75" s="124">
        <f>ROUND(A75*$E$34,0)</f>
        <v>49</v>
      </c>
      <c r="D75" s="81" t="str">
        <f t="shared" si="4"/>
        <v>98 osob</v>
      </c>
      <c r="E75" s="104">
        <f t="shared" si="15"/>
        <v>424034.91635294119</v>
      </c>
      <c r="F75" s="122">
        <f>SUM($E$15:$E$24)</f>
        <v>86489</v>
      </c>
      <c r="G75" s="122">
        <f>$C75*$E$27</f>
        <v>4900</v>
      </c>
      <c r="H75" s="122">
        <f t="shared" si="5"/>
        <v>234981.76470588235</v>
      </c>
      <c r="I75" s="122">
        <f t="shared" si="6"/>
        <v>27584.117647058825</v>
      </c>
      <c r="J75" s="122">
        <f>$E$30+$B75*$E$31</f>
        <v>70080.034</v>
      </c>
      <c r="K75" s="87">
        <f t="shared" si="7"/>
        <v>4326.8869015606242</v>
      </c>
      <c r="L75" s="87">
        <f t="shared" si="8"/>
        <v>363807.3027152248</v>
      </c>
      <c r="M75" s="122">
        <f t="shared" si="9"/>
        <v>71478.512396694219</v>
      </c>
      <c r="N75" s="122">
        <f>$C75*$K$27</f>
        <v>4260.869565217391</v>
      </c>
      <c r="O75" s="122">
        <f t="shared" si="10"/>
        <v>204331.96930946293</v>
      </c>
      <c r="P75" s="122">
        <f t="shared" si="11"/>
        <v>22796.79144385027</v>
      </c>
      <c r="Q75" s="122">
        <f>$K$30+$B75*$K$31</f>
        <v>60939.16</v>
      </c>
      <c r="R75" s="87">
        <f t="shared" si="12"/>
        <v>3712.3194154614775</v>
      </c>
      <c r="S75" s="111"/>
      <c r="T75" s="111"/>
      <c r="U75" s="123"/>
      <c r="V75" s="87"/>
      <c r="W75" s="87"/>
      <c r="X75" s="87"/>
      <c r="Y75" s="87"/>
      <c r="Z75" s="87"/>
      <c r="AA75" s="81"/>
      <c r="AB75" s="81"/>
    </row>
    <row r="76" spans="1:28" ht="12.75" hidden="1" customHeight="1" outlineLevel="1" x14ac:dyDescent="0.25">
      <c r="A76" s="121">
        <f t="shared" si="14"/>
        <v>99</v>
      </c>
      <c r="B76" s="124">
        <f>_xlfn.CEILING.MATH((A76-30)/2,1)</f>
        <v>35</v>
      </c>
      <c r="C76" s="124">
        <f>ROUND(A76*$E$34,0)</f>
        <v>50</v>
      </c>
      <c r="D76" s="81" t="str">
        <f t="shared" si="4"/>
        <v>99 osob</v>
      </c>
      <c r="E76" s="104">
        <f t="shared" si="15"/>
        <v>428334.16105042014</v>
      </c>
      <c r="F76" s="122">
        <f>SUM($E$15:$E$24)</f>
        <v>86489</v>
      </c>
      <c r="G76" s="122">
        <f>$C76*$E$27</f>
        <v>5000</v>
      </c>
      <c r="H76" s="122">
        <f t="shared" si="5"/>
        <v>237379.53781512604</v>
      </c>
      <c r="I76" s="122">
        <f t="shared" si="6"/>
        <v>27865.588235294119</v>
      </c>
      <c r="J76" s="122">
        <f>$E$30+$B76*$E$31</f>
        <v>71600.035000000003</v>
      </c>
      <c r="K76" s="87">
        <f t="shared" si="7"/>
        <v>4326.6076873779812</v>
      </c>
      <c r="L76" s="87">
        <f t="shared" si="8"/>
        <v>367533.63965281413</v>
      </c>
      <c r="M76" s="122">
        <f t="shared" si="9"/>
        <v>71478.512396694219</v>
      </c>
      <c r="N76" s="122">
        <f>$C76*$K$27</f>
        <v>4347.826086956522</v>
      </c>
      <c r="O76" s="122">
        <f t="shared" si="10"/>
        <v>206416.98940445745</v>
      </c>
      <c r="P76" s="122">
        <f t="shared" si="11"/>
        <v>23029.411764705885</v>
      </c>
      <c r="Q76" s="122">
        <f>$K$30+$B76*$K$31</f>
        <v>62260.9</v>
      </c>
      <c r="R76" s="87">
        <f t="shared" si="12"/>
        <v>3712.4610065940819</v>
      </c>
      <c r="S76" s="111"/>
      <c r="T76" s="111"/>
      <c r="U76" s="123"/>
      <c r="V76" s="87"/>
      <c r="W76" s="87"/>
      <c r="X76" s="87"/>
      <c r="Y76" s="87"/>
      <c r="Z76" s="87"/>
      <c r="AA76" s="81"/>
      <c r="AB76" s="81"/>
    </row>
    <row r="77" spans="1:28" ht="12.75" customHeight="1" collapsed="1" x14ac:dyDescent="0.25">
      <c r="A77" s="121">
        <f t="shared" si="14"/>
        <v>100</v>
      </c>
      <c r="B77" s="124">
        <f>_xlfn.CEILING.MATH((A77-30)/2,1)</f>
        <v>35</v>
      </c>
      <c r="C77" s="124">
        <f>ROUND(A77*$E$34,0)</f>
        <v>50</v>
      </c>
      <c r="D77" s="88" t="str">
        <f t="shared" si="4"/>
        <v>100 osob</v>
      </c>
      <c r="E77" s="105">
        <f t="shared" si="15"/>
        <v>431013.40474789916</v>
      </c>
      <c r="F77" s="126">
        <f>SUM($E$15:$E$24)</f>
        <v>86489</v>
      </c>
      <c r="G77" s="126">
        <f>$C77*$E$27</f>
        <v>5000</v>
      </c>
      <c r="H77" s="126">
        <f t="shared" si="5"/>
        <v>239777.31092436975</v>
      </c>
      <c r="I77" s="126">
        <f t="shared" si="6"/>
        <v>28147.058823529413</v>
      </c>
      <c r="J77" s="126">
        <f>$E$30+$B77*$E$31</f>
        <v>71600.035000000003</v>
      </c>
      <c r="K77" s="89">
        <f t="shared" si="7"/>
        <v>4310.1340474789913</v>
      </c>
      <c r="L77" s="89">
        <f t="shared" si="8"/>
        <v>369851.28006866423</v>
      </c>
      <c r="M77" s="126">
        <f t="shared" si="9"/>
        <v>71478.512396694219</v>
      </c>
      <c r="N77" s="126">
        <f>$C77*$K$27</f>
        <v>4347.826086956522</v>
      </c>
      <c r="O77" s="126">
        <f t="shared" si="10"/>
        <v>208502.00949945196</v>
      </c>
      <c r="P77" s="126">
        <f t="shared" si="11"/>
        <v>23262.032085561499</v>
      </c>
      <c r="Q77" s="126">
        <f>$K$30+$B77*$K$31</f>
        <v>62260.9</v>
      </c>
      <c r="R77" s="89">
        <f t="shared" si="12"/>
        <v>3698.5128006866421</v>
      </c>
      <c r="S77" s="111">
        <f>S$35*($A77-V91-W91)</f>
        <v>485233.0097087379</v>
      </c>
      <c r="T77" s="111">
        <f>(T$35+S$35)*($A77-V91-W91)</f>
        <v>550833.00970873795</v>
      </c>
      <c r="U77" s="123"/>
      <c r="V77" s="89">
        <f t="shared" ref="V77:Y77" si="16">V78+$V$83</f>
        <v>6800</v>
      </c>
      <c r="W77" s="89">
        <f t="shared" si="16"/>
        <v>6300</v>
      </c>
      <c r="X77" s="89">
        <f t="shared" si="16"/>
        <v>7800</v>
      </c>
      <c r="Y77" s="89">
        <f t="shared" si="16"/>
        <v>7300</v>
      </c>
      <c r="Z77" s="89"/>
      <c r="AA77" s="81"/>
      <c r="AB77" s="81"/>
    </row>
    <row r="78" spans="1:28" ht="12.75" customHeight="1" x14ac:dyDescent="0.2">
      <c r="A78" s="121">
        <v>119</v>
      </c>
      <c r="B78" s="124">
        <f>_xlfn.CEILING.MATH((A78-30)/2,1)</f>
        <v>45</v>
      </c>
      <c r="C78" s="124">
        <f>ROUNDUP(A78*E34,0)</f>
        <v>60</v>
      </c>
      <c r="D78" s="88" t="s">
        <v>262</v>
      </c>
      <c r="E78" s="105">
        <f t="shared" si="15"/>
        <v>498119.04499999998</v>
      </c>
      <c r="F78" s="126">
        <f>SUM($E$15:$E$24)</f>
        <v>86489</v>
      </c>
      <c r="G78" s="126">
        <f>$C78*$E$27</f>
        <v>6000</v>
      </c>
      <c r="H78" s="126">
        <f t="shared" si="5"/>
        <v>285335</v>
      </c>
      <c r="I78" s="126">
        <f t="shared" si="6"/>
        <v>33495</v>
      </c>
      <c r="J78" s="126">
        <f>$E$30+$B78*$E$31</f>
        <v>86800.044999999998</v>
      </c>
      <c r="K78" s="89">
        <f t="shared" si="7"/>
        <v>4185.8743277310923</v>
      </c>
      <c r="L78" s="89">
        <f t="shared" si="8"/>
        <v>427973.41318720806</v>
      </c>
      <c r="M78" s="126">
        <f t="shared" si="9"/>
        <v>71478.512396694219</v>
      </c>
      <c r="N78" s="126">
        <f>$C78*$K$27</f>
        <v>5217.391304347826</v>
      </c>
      <c r="O78" s="126">
        <f t="shared" si="10"/>
        <v>248117.39130434784</v>
      </c>
      <c r="P78" s="126">
        <f t="shared" si="11"/>
        <v>27681.818181818187</v>
      </c>
      <c r="Q78" s="126">
        <f>$K$30+$B78*$K$31</f>
        <v>75478.3</v>
      </c>
      <c r="R78" s="89">
        <f t="shared" si="12"/>
        <v>3596.4152368672944</v>
      </c>
      <c r="S78" s="81"/>
      <c r="T78" s="81"/>
      <c r="U78" s="217" t="s">
        <v>260</v>
      </c>
      <c r="V78" s="129">
        <v>6000</v>
      </c>
      <c r="W78" s="129">
        <v>5500</v>
      </c>
      <c r="X78" s="129">
        <v>7000</v>
      </c>
      <c r="Y78" s="129">
        <v>6500</v>
      </c>
      <c r="Z78" s="129"/>
      <c r="AA78" s="81"/>
      <c r="AB78" s="81"/>
    </row>
    <row r="79" spans="1:28" ht="12.75" customHeight="1" x14ac:dyDescent="0.2">
      <c r="A79" s="81"/>
      <c r="B79" s="218"/>
      <c r="C79" s="218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 t="s">
        <v>175</v>
      </c>
      <c r="S79" s="111">
        <f t="shared" ref="S79:T79" si="17">S37/1.21</f>
        <v>205399.98395249943</v>
      </c>
      <c r="T79" s="111">
        <f t="shared" si="17"/>
        <v>233168.57899382172</v>
      </c>
      <c r="U79" s="127" t="s">
        <v>176</v>
      </c>
      <c r="V79" s="130">
        <v>28</v>
      </c>
      <c r="W79" s="128">
        <v>52</v>
      </c>
      <c r="X79" s="128">
        <v>12</v>
      </c>
      <c r="Y79" s="128">
        <v>11</v>
      </c>
      <c r="Z79" s="128">
        <v>16</v>
      </c>
      <c r="AA79" s="81"/>
      <c r="AB79" s="130">
        <v>103</v>
      </c>
    </row>
    <row r="80" spans="1:28" ht="12.75" customHeight="1" x14ac:dyDescent="0.2">
      <c r="A80" s="131"/>
      <c r="B80" s="219"/>
      <c r="C80" s="219"/>
      <c r="D80" s="131" t="s">
        <v>177</v>
      </c>
      <c r="E80" s="132">
        <v>609500</v>
      </c>
      <c r="F80" s="133">
        <f>SUMPRODUCT(V78:Y78,V79:Y79)</f>
        <v>609500</v>
      </c>
      <c r="G80" s="131"/>
      <c r="H80" s="131"/>
      <c r="I80" s="81"/>
      <c r="J80" s="81"/>
      <c r="K80" s="81"/>
      <c r="L80" s="81"/>
      <c r="M80" s="81"/>
      <c r="N80" s="81"/>
      <c r="O80" s="81"/>
      <c r="P80" s="81"/>
      <c r="Q80" s="81"/>
      <c r="R80" s="81" t="s">
        <v>175</v>
      </c>
      <c r="S80" s="111">
        <f t="shared" ref="S80:T80" si="18">S77/1.21</f>
        <v>401019.01628821314</v>
      </c>
      <c r="T80" s="111">
        <f t="shared" si="18"/>
        <v>455233.89232127107</v>
      </c>
      <c r="U80" s="127" t="s">
        <v>178</v>
      </c>
      <c r="V80" s="129">
        <f>SUMPRODUCT(V78:Y78,V79:Y79)/SUM(V79:Y79)</f>
        <v>5917.4757281553402</v>
      </c>
      <c r="W80" s="128"/>
      <c r="X80" s="128"/>
      <c r="Y80" s="128"/>
      <c r="Z80" s="81"/>
      <c r="AA80" s="81"/>
      <c r="AB80" s="81"/>
    </row>
    <row r="81" spans="1:28" ht="12.75" customHeight="1" x14ac:dyDescent="0.2">
      <c r="A81" s="131"/>
      <c r="B81" s="219"/>
      <c r="C81" s="219"/>
      <c r="D81" s="131" t="s">
        <v>179</v>
      </c>
      <c r="E81" s="134">
        <f>'JAS_Vyuctovani Ricany 2019'!B37</f>
        <v>416754</v>
      </c>
      <c r="F81" s="133"/>
      <c r="G81" s="131"/>
      <c r="H81" s="13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127"/>
      <c r="V81" s="128"/>
      <c r="W81" s="128"/>
      <c r="X81" s="128"/>
      <c r="Y81" s="128"/>
      <c r="Z81" s="81"/>
      <c r="AA81" s="81"/>
      <c r="AB81" s="81"/>
    </row>
    <row r="82" spans="1:28" ht="12.75" customHeight="1" x14ac:dyDescent="0.2">
      <c r="A82" s="131"/>
      <c r="B82" s="219"/>
      <c r="C82" s="219"/>
      <c r="D82" s="131" t="s">
        <v>180</v>
      </c>
      <c r="E82" s="132">
        <f>E80-E81</f>
        <v>192746</v>
      </c>
      <c r="F82" s="131"/>
      <c r="G82" s="131"/>
      <c r="H82" s="13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111">
        <f>T79-L37</f>
        <v>-15803.154006054508</v>
      </c>
      <c r="U82" s="127" t="s">
        <v>181</v>
      </c>
      <c r="V82" s="135">
        <f t="shared" ref="V82:Y82" si="19">V$79/$AB$79*(100-$V$91-$W$91)</f>
        <v>22.291262135922331</v>
      </c>
      <c r="W82" s="135">
        <f t="shared" si="19"/>
        <v>41.398058252427184</v>
      </c>
      <c r="X82" s="135">
        <f t="shared" si="19"/>
        <v>9.5533980582524283</v>
      </c>
      <c r="Y82" s="135">
        <f t="shared" si="19"/>
        <v>8.757281553398057</v>
      </c>
      <c r="Z82" s="129"/>
      <c r="AA82" s="81"/>
      <c r="AB82" s="136">
        <f>SUM(V82:Y82)</f>
        <v>82</v>
      </c>
    </row>
    <row r="83" spans="1:28" ht="12.75" customHeight="1" x14ac:dyDescent="0.2">
      <c r="A83" s="131"/>
      <c r="B83" s="219"/>
      <c r="C83" s="219"/>
      <c r="D83" s="131"/>
      <c r="E83" s="131"/>
      <c r="F83" s="131"/>
      <c r="G83" s="131"/>
      <c r="H83" s="137" t="s">
        <v>182</v>
      </c>
      <c r="I83" s="204" t="s">
        <v>183</v>
      </c>
      <c r="J83" s="197"/>
      <c r="K83" s="81"/>
      <c r="L83" s="81"/>
      <c r="M83" s="81"/>
      <c r="N83" s="81"/>
      <c r="O83" s="81"/>
      <c r="P83" s="81"/>
      <c r="Q83" s="81"/>
      <c r="R83" s="81"/>
      <c r="S83" s="81"/>
      <c r="T83" s="111">
        <f>T80-L77</f>
        <v>85382.612252606836</v>
      </c>
      <c r="U83" s="138" t="s">
        <v>184</v>
      </c>
      <c r="V83" s="139">
        <f>'JAS_Shrnuti 2020'!E4</f>
        <v>800</v>
      </c>
      <c r="W83" s="129"/>
      <c r="X83" s="128"/>
      <c r="Y83" s="128"/>
      <c r="Z83" s="81"/>
      <c r="AA83" s="81"/>
      <c r="AB83" s="81"/>
    </row>
    <row r="84" spans="1:28" ht="12.75" customHeight="1" x14ac:dyDescent="0.2">
      <c r="A84" s="140" t="s">
        <v>185</v>
      </c>
      <c r="B84" s="220"/>
      <c r="C84" s="220"/>
      <c r="D84" s="131" t="s">
        <v>186</v>
      </c>
      <c r="E84" s="132">
        <f>F84</f>
        <v>550833.00970873784</v>
      </c>
      <c r="F84" s="133">
        <f>SUMPRODUCT(V77:Y77,V82:Y82)</f>
        <v>550833.00970873784</v>
      </c>
      <c r="G84" s="141"/>
      <c r="H84" s="142">
        <f>E84/1.21</f>
        <v>455233.89232127095</v>
      </c>
      <c r="I84" s="196">
        <f>(SUMPRODUCT(V78:Y78,V82:Y82))/1.21</f>
        <v>401019.01628821308</v>
      </c>
      <c r="J84" s="197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127" t="s">
        <v>187</v>
      </c>
      <c r="V84" s="129">
        <f>SUMPRODUCT(V77:Y77,V82:Y82)/SUM(V82:Y82)</f>
        <v>6717.4757281553393</v>
      </c>
      <c r="W84" s="128"/>
      <c r="X84" s="128"/>
      <c r="Y84" s="128"/>
      <c r="Z84" s="81"/>
      <c r="AA84" s="81"/>
      <c r="AB84" s="81"/>
    </row>
    <row r="85" spans="1:28" ht="12.75" customHeight="1" x14ac:dyDescent="0.2">
      <c r="A85" s="131"/>
      <c r="B85" s="219"/>
      <c r="C85" s="219"/>
      <c r="D85" s="131" t="s">
        <v>188</v>
      </c>
      <c r="E85" s="134">
        <f>E77</f>
        <v>431013.40474789916</v>
      </c>
      <c r="F85" s="143"/>
      <c r="G85" s="131"/>
      <c r="H85" s="144">
        <f>L77</f>
        <v>369851.28006866423</v>
      </c>
      <c r="I85" s="198">
        <f>H85</f>
        <v>369851.28006866423</v>
      </c>
      <c r="J85" s="199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120"/>
      <c r="W85" s="81"/>
      <c r="X85" s="81"/>
      <c r="Y85" s="81"/>
      <c r="Z85" s="81"/>
      <c r="AA85" s="81"/>
      <c r="AB85" s="81"/>
    </row>
    <row r="86" spans="1:28" ht="12.75" customHeight="1" x14ac:dyDescent="0.2">
      <c r="A86" s="131"/>
      <c r="B86" s="219"/>
      <c r="C86" s="219"/>
      <c r="D86" s="131" t="s">
        <v>189</v>
      </c>
      <c r="E86" s="132">
        <f>E84-E85</f>
        <v>119819.60496083868</v>
      </c>
      <c r="F86" s="143" t="s">
        <v>190</v>
      </c>
      <c r="G86" s="131"/>
      <c r="H86" s="142">
        <f t="shared" ref="H86:I86" si="20">H84-H85</f>
        <v>85382.612252606719</v>
      </c>
      <c r="I86" s="200">
        <f t="shared" si="20"/>
        <v>31167.736219548853</v>
      </c>
      <c r="J86" s="20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127" t="s">
        <v>191</v>
      </c>
      <c r="V86" s="135">
        <f t="shared" ref="V86:Y86" si="21">V$79/$AB$79*(60-$V$91-$W$91)</f>
        <v>11.41747572815534</v>
      </c>
      <c r="W86" s="135">
        <f t="shared" si="21"/>
        <v>21.203883495145632</v>
      </c>
      <c r="X86" s="135">
        <f t="shared" si="21"/>
        <v>4.8932038834951461</v>
      </c>
      <c r="Y86" s="135">
        <f t="shared" si="21"/>
        <v>4.4854368932038833</v>
      </c>
      <c r="Z86" s="136"/>
      <c r="AA86" s="81"/>
      <c r="AB86" s="136">
        <f>SUM(V86:Y86)</f>
        <v>42</v>
      </c>
    </row>
    <row r="87" spans="1:28" ht="12.75" customHeight="1" x14ac:dyDescent="0.2">
      <c r="A87" s="131"/>
      <c r="B87" s="219"/>
      <c r="C87" s="219"/>
      <c r="D87" s="131"/>
      <c r="E87" s="131"/>
      <c r="F87" s="131"/>
      <c r="G87" s="131"/>
      <c r="H87" s="145"/>
      <c r="I87" s="145"/>
      <c r="J87" s="145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138" t="s">
        <v>192</v>
      </c>
      <c r="V87" s="139">
        <f>'JAS_Shrnuti 2020'!D4</f>
        <v>800</v>
      </c>
      <c r="W87" s="81"/>
      <c r="X87" s="81"/>
      <c r="Y87" s="81"/>
      <c r="Z87" s="81"/>
      <c r="AA87" s="81"/>
      <c r="AB87" s="81"/>
    </row>
    <row r="88" spans="1:28" ht="12.75" customHeight="1" x14ac:dyDescent="0.2">
      <c r="A88" s="140" t="s">
        <v>193</v>
      </c>
      <c r="B88" s="220"/>
      <c r="C88" s="220"/>
      <c r="D88" s="131" t="s">
        <v>186</v>
      </c>
      <c r="E88" s="146">
        <f>F88</f>
        <v>282133.98058252427</v>
      </c>
      <c r="F88" s="133">
        <f>SUMPRODUCT(V37:Y37,V86:Y86)</f>
        <v>282133.98058252427</v>
      </c>
      <c r="G88" s="131"/>
      <c r="H88" s="142">
        <f>(E88)/1.21</f>
        <v>233168.57899382172</v>
      </c>
      <c r="I88" s="196">
        <f>(SUMPRODUCT(V78:Y78,V86:Y86))/1.21</f>
        <v>205399.98395249943</v>
      </c>
      <c r="J88" s="197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127" t="s">
        <v>194</v>
      </c>
      <c r="V88" s="129">
        <f>SUMPRODUCT(V37:Y37,V86:Y86)/SUM(V86:Y86)</f>
        <v>6717.4757281553393</v>
      </c>
      <c r="W88" s="81"/>
      <c r="X88" s="81"/>
      <c r="Y88" s="81"/>
      <c r="Z88" s="81"/>
      <c r="AA88" s="81"/>
      <c r="AB88" s="81"/>
    </row>
    <row r="89" spans="1:28" ht="12.75" customHeight="1" x14ac:dyDescent="0.2">
      <c r="A89" s="131"/>
      <c r="B89" s="219"/>
      <c r="C89" s="219"/>
      <c r="D89" s="131" t="s">
        <v>188</v>
      </c>
      <c r="E89" s="147">
        <f>E37</f>
        <v>291443.63684873952</v>
      </c>
      <c r="F89" s="131"/>
      <c r="G89" s="131"/>
      <c r="H89" s="144">
        <f>L37</f>
        <v>248971.73299987623</v>
      </c>
      <c r="I89" s="198">
        <f>H89</f>
        <v>248971.73299987623</v>
      </c>
      <c r="J89" s="199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2.75" customHeight="1" x14ac:dyDescent="0.2">
      <c r="A90" s="131"/>
      <c r="B90" s="219"/>
      <c r="C90" s="219"/>
      <c r="D90" s="131" t="s">
        <v>189</v>
      </c>
      <c r="E90" s="132">
        <f>E88-E89</f>
        <v>-9309.6562662152573</v>
      </c>
      <c r="F90" s="143" t="s">
        <v>195</v>
      </c>
      <c r="G90" s="131"/>
      <c r="H90" s="142">
        <f t="shared" ref="H90:I90" si="22">H88-H89</f>
        <v>-15803.154006054508</v>
      </c>
      <c r="I90" s="200">
        <f t="shared" si="22"/>
        <v>-43571.749047376798</v>
      </c>
      <c r="J90" s="20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148" t="s">
        <v>196</v>
      </c>
      <c r="W90" s="148" t="s">
        <v>197</v>
      </c>
      <c r="X90" s="81"/>
      <c r="Y90" s="81"/>
      <c r="Z90" s="81"/>
      <c r="AA90" s="81"/>
      <c r="AB90" s="81"/>
    </row>
    <row r="91" spans="1:28" ht="12.75" customHeight="1" x14ac:dyDescent="0.2">
      <c r="A91" s="131"/>
      <c r="B91" s="219"/>
      <c r="C91" s="219"/>
      <c r="D91" s="131"/>
      <c r="E91" s="131"/>
      <c r="F91" s="131"/>
      <c r="G91" s="131"/>
      <c r="H91" s="145"/>
      <c r="I91" s="145"/>
      <c r="J91" s="145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149">
        <v>15</v>
      </c>
      <c r="W91" s="149">
        <v>3</v>
      </c>
      <c r="X91" s="81"/>
      <c r="Y91" s="81"/>
      <c r="Z91" s="81"/>
      <c r="AA91" s="81"/>
      <c r="AB91" s="81"/>
    </row>
    <row r="92" spans="1:28" ht="12.75" customHeight="1" x14ac:dyDescent="0.2">
      <c r="A92" s="81"/>
      <c r="B92" s="218"/>
      <c r="C92" s="218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221" t="s">
        <v>259</v>
      </c>
      <c r="W92" s="81"/>
      <c r="X92" s="81"/>
      <c r="Y92" s="81"/>
      <c r="Z92" s="81"/>
      <c r="AA92" s="81"/>
      <c r="AB92" s="81"/>
    </row>
    <row r="93" spans="1:28" ht="12.75" customHeight="1" x14ac:dyDescent="0.2">
      <c r="A93" s="81"/>
      <c r="B93" s="218"/>
      <c r="C93" s="218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2.75" customHeight="1" x14ac:dyDescent="0.2">
      <c r="A94" s="81"/>
      <c r="B94" s="218"/>
      <c r="C94" s="218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2.75" customHeight="1" x14ac:dyDescent="0.2">
      <c r="A95" s="81"/>
      <c r="B95" s="218"/>
      <c r="C95" s="218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2.75" customHeight="1" x14ac:dyDescent="0.2">
      <c r="A96" s="81"/>
      <c r="B96" s="218"/>
      <c r="C96" s="218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2.75" customHeight="1" x14ac:dyDescent="0.2">
      <c r="A97" s="81"/>
      <c r="B97" s="218"/>
      <c r="C97" s="218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2.75" customHeight="1" x14ac:dyDescent="0.2">
      <c r="A98" s="81"/>
      <c r="B98" s="218"/>
      <c r="C98" s="218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2.75" customHeight="1" x14ac:dyDescent="0.2">
      <c r="A99" s="81"/>
      <c r="B99" s="218"/>
      <c r="C99" s="218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2.75" customHeight="1" x14ac:dyDescent="0.2">
      <c r="A100" s="81"/>
      <c r="B100" s="218"/>
      <c r="C100" s="218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2.75" customHeight="1" x14ac:dyDescent="0.2">
      <c r="A101" s="81"/>
      <c r="B101" s="218"/>
      <c r="C101" s="218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2.75" customHeight="1" x14ac:dyDescent="0.2">
      <c r="A102" s="81"/>
      <c r="B102" s="218"/>
      <c r="C102" s="218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2.75" customHeight="1" x14ac:dyDescent="0.2">
      <c r="A103" s="81"/>
      <c r="B103" s="218"/>
      <c r="C103" s="218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2.75" customHeight="1" x14ac:dyDescent="0.2">
      <c r="A104" s="81"/>
      <c r="B104" s="218"/>
      <c r="C104" s="218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2.75" customHeight="1" x14ac:dyDescent="0.2">
      <c r="A105" s="81"/>
      <c r="B105" s="218"/>
      <c r="C105" s="218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2.75" customHeight="1" x14ac:dyDescent="0.2">
      <c r="A106" s="81"/>
      <c r="B106" s="218"/>
      <c r="C106" s="218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2.75" customHeight="1" x14ac:dyDescent="0.2">
      <c r="A107" s="81"/>
      <c r="B107" s="218"/>
      <c r="C107" s="218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2.75" customHeight="1" x14ac:dyDescent="0.2">
      <c r="A108" s="81"/>
      <c r="B108" s="218"/>
      <c r="C108" s="218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2.75" customHeight="1" x14ac:dyDescent="0.2">
      <c r="A109" s="81"/>
      <c r="B109" s="218"/>
      <c r="C109" s="218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2.75" customHeight="1" x14ac:dyDescent="0.2">
      <c r="A110" s="81"/>
      <c r="B110" s="218"/>
      <c r="C110" s="218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2.75" customHeight="1" x14ac:dyDescent="0.2">
      <c r="A111" s="81"/>
      <c r="B111" s="218"/>
      <c r="C111" s="218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2.75" customHeight="1" x14ac:dyDescent="0.2">
      <c r="A112" s="81"/>
      <c r="B112" s="218"/>
      <c r="C112" s="218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2.75" customHeight="1" x14ac:dyDescent="0.2">
      <c r="A113" s="81"/>
      <c r="B113" s="218"/>
      <c r="C113" s="218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2.75" customHeight="1" x14ac:dyDescent="0.2">
      <c r="A114" s="81"/>
      <c r="B114" s="218"/>
      <c r="C114" s="218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2.75" customHeight="1" x14ac:dyDescent="0.2">
      <c r="A115" s="81"/>
      <c r="B115" s="218"/>
      <c r="C115" s="218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2.75" customHeight="1" x14ac:dyDescent="0.2">
      <c r="A116" s="81"/>
      <c r="B116" s="218"/>
      <c r="C116" s="218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2.75" customHeight="1" x14ac:dyDescent="0.2">
      <c r="A117" s="81"/>
      <c r="B117" s="218"/>
      <c r="C117" s="218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2.75" customHeight="1" x14ac:dyDescent="0.2">
      <c r="A118" s="81"/>
      <c r="B118" s="218"/>
      <c r="C118" s="218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2.75" customHeight="1" x14ac:dyDescent="0.2">
      <c r="A119" s="81"/>
      <c r="B119" s="218"/>
      <c r="C119" s="218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2.75" customHeight="1" x14ac:dyDescent="0.2">
      <c r="A120" s="81"/>
      <c r="B120" s="218"/>
      <c r="C120" s="218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2.75" customHeight="1" x14ac:dyDescent="0.2">
      <c r="A121" s="81"/>
      <c r="B121" s="218"/>
      <c r="C121" s="218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2.75" customHeight="1" x14ac:dyDescent="0.2">
      <c r="A122" s="81"/>
      <c r="B122" s="218"/>
      <c r="C122" s="218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2.75" customHeight="1" x14ac:dyDescent="0.2">
      <c r="A123" s="81"/>
      <c r="B123" s="218"/>
      <c r="C123" s="218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2.75" customHeight="1" x14ac:dyDescent="0.2">
      <c r="A124" s="81"/>
      <c r="B124" s="218"/>
      <c r="C124" s="218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2.75" customHeight="1" x14ac:dyDescent="0.2">
      <c r="A125" s="81"/>
      <c r="B125" s="218"/>
      <c r="C125" s="218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2.75" customHeight="1" x14ac:dyDescent="0.2">
      <c r="A126" s="81"/>
      <c r="B126" s="218"/>
      <c r="C126" s="218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2.75" customHeight="1" x14ac:dyDescent="0.2">
      <c r="A127" s="81"/>
      <c r="B127" s="218"/>
      <c r="C127" s="218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2.75" customHeight="1" x14ac:dyDescent="0.2">
      <c r="A128" s="81"/>
      <c r="B128" s="218"/>
      <c r="C128" s="218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2.75" customHeight="1" x14ac:dyDescent="0.2">
      <c r="A129" s="81"/>
      <c r="B129" s="218"/>
      <c r="C129" s="218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2.75" customHeight="1" x14ac:dyDescent="0.2">
      <c r="A130" s="81"/>
      <c r="B130" s="218"/>
      <c r="C130" s="218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2.75" customHeight="1" x14ac:dyDescent="0.2">
      <c r="A131" s="81"/>
      <c r="B131" s="218"/>
      <c r="C131" s="218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2.75" customHeight="1" x14ac:dyDescent="0.2">
      <c r="A132" s="81"/>
      <c r="B132" s="218"/>
      <c r="C132" s="218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2.75" customHeight="1" x14ac:dyDescent="0.2">
      <c r="A133" s="81"/>
      <c r="B133" s="218"/>
      <c r="C133" s="218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2.75" customHeight="1" x14ac:dyDescent="0.2">
      <c r="A134" s="81"/>
      <c r="B134" s="218"/>
      <c r="C134" s="218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2.75" customHeight="1" x14ac:dyDescent="0.2">
      <c r="A135" s="81"/>
      <c r="B135" s="218"/>
      <c r="C135" s="218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2.75" customHeight="1" x14ac:dyDescent="0.2">
      <c r="A136" s="81"/>
      <c r="B136" s="218"/>
      <c r="C136" s="218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2.75" customHeight="1" x14ac:dyDescent="0.2">
      <c r="A137" s="81"/>
      <c r="B137" s="218"/>
      <c r="C137" s="218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2.75" customHeight="1" x14ac:dyDescent="0.2">
      <c r="A138" s="81"/>
      <c r="B138" s="218"/>
      <c r="C138" s="218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2.75" customHeight="1" x14ac:dyDescent="0.2">
      <c r="A139" s="81"/>
      <c r="B139" s="218"/>
      <c r="C139" s="218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2.75" customHeight="1" x14ac:dyDescent="0.2">
      <c r="A140" s="81"/>
      <c r="B140" s="218"/>
      <c r="C140" s="218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2.75" customHeight="1" x14ac:dyDescent="0.2">
      <c r="A141" s="81"/>
      <c r="B141" s="218"/>
      <c r="C141" s="218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2.75" customHeight="1" x14ac:dyDescent="0.2">
      <c r="A142" s="81"/>
      <c r="B142" s="218"/>
      <c r="C142" s="218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2.75" customHeight="1" x14ac:dyDescent="0.2">
      <c r="A143" s="81"/>
      <c r="B143" s="218"/>
      <c r="C143" s="218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2.75" customHeight="1" x14ac:dyDescent="0.2">
      <c r="A144" s="81"/>
      <c r="B144" s="218"/>
      <c r="C144" s="218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2.75" customHeight="1" x14ac:dyDescent="0.2">
      <c r="A145" s="81"/>
      <c r="B145" s="218"/>
      <c r="C145" s="218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2.75" customHeight="1" x14ac:dyDescent="0.2">
      <c r="A146" s="81"/>
      <c r="B146" s="218"/>
      <c r="C146" s="218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2.75" customHeight="1" x14ac:dyDescent="0.2">
      <c r="A147" s="81"/>
      <c r="B147" s="218"/>
      <c r="C147" s="218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2.75" customHeight="1" x14ac:dyDescent="0.2">
      <c r="A148" s="81"/>
      <c r="B148" s="218"/>
      <c r="C148" s="218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2.75" customHeight="1" x14ac:dyDescent="0.2">
      <c r="A149" s="81"/>
      <c r="B149" s="218"/>
      <c r="C149" s="218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2.75" customHeight="1" x14ac:dyDescent="0.2">
      <c r="A150" s="81"/>
      <c r="B150" s="218"/>
      <c r="C150" s="218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2.75" customHeight="1" x14ac:dyDescent="0.2">
      <c r="A151" s="81"/>
      <c r="B151" s="218"/>
      <c r="C151" s="218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2.75" customHeight="1" x14ac:dyDescent="0.2">
      <c r="A152" s="81"/>
      <c r="B152" s="218"/>
      <c r="C152" s="218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2.75" customHeight="1" x14ac:dyDescent="0.2">
      <c r="A153" s="81"/>
      <c r="B153" s="218"/>
      <c r="C153" s="218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2.75" customHeight="1" x14ac:dyDescent="0.2">
      <c r="A154" s="81"/>
      <c r="B154" s="218"/>
      <c r="C154" s="218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2.75" customHeight="1" x14ac:dyDescent="0.2">
      <c r="A155" s="81"/>
      <c r="B155" s="218"/>
      <c r="C155" s="218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2.75" customHeight="1" x14ac:dyDescent="0.2">
      <c r="A156" s="81"/>
      <c r="B156" s="218"/>
      <c r="C156" s="218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2.75" customHeight="1" x14ac:dyDescent="0.2">
      <c r="A157" s="81"/>
      <c r="B157" s="218"/>
      <c r="C157" s="218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2.75" customHeight="1" x14ac:dyDescent="0.2">
      <c r="A158" s="81"/>
      <c r="B158" s="218"/>
      <c r="C158" s="218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2.75" customHeight="1" x14ac:dyDescent="0.2">
      <c r="A159" s="81"/>
      <c r="B159" s="218"/>
      <c r="C159" s="218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2.75" customHeight="1" x14ac:dyDescent="0.2">
      <c r="A160" s="81"/>
      <c r="B160" s="218"/>
      <c r="C160" s="218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2.75" customHeight="1" x14ac:dyDescent="0.2">
      <c r="A161" s="81"/>
      <c r="B161" s="218"/>
      <c r="C161" s="218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2.75" customHeight="1" x14ac:dyDescent="0.2">
      <c r="A162" s="81"/>
      <c r="B162" s="218"/>
      <c r="C162" s="218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2.75" customHeight="1" x14ac:dyDescent="0.2">
      <c r="A163" s="81"/>
      <c r="B163" s="218"/>
      <c r="C163" s="218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2.75" customHeight="1" x14ac:dyDescent="0.2">
      <c r="A164" s="81"/>
      <c r="B164" s="218"/>
      <c r="C164" s="218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2.75" customHeight="1" x14ac:dyDescent="0.2">
      <c r="A165" s="81"/>
      <c r="B165" s="218"/>
      <c r="C165" s="218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2.75" customHeight="1" x14ac:dyDescent="0.2">
      <c r="A166" s="81"/>
      <c r="B166" s="218"/>
      <c r="C166" s="218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2.75" customHeight="1" x14ac:dyDescent="0.2">
      <c r="A167" s="81"/>
      <c r="B167" s="218"/>
      <c r="C167" s="218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2.75" customHeight="1" x14ac:dyDescent="0.2">
      <c r="A168" s="81"/>
      <c r="B168" s="218"/>
      <c r="C168" s="218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2.75" customHeight="1" x14ac:dyDescent="0.2">
      <c r="A169" s="81"/>
      <c r="B169" s="218"/>
      <c r="C169" s="218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2.75" customHeight="1" x14ac:dyDescent="0.2">
      <c r="A170" s="81"/>
      <c r="B170" s="218"/>
      <c r="C170" s="218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2.75" customHeight="1" x14ac:dyDescent="0.2">
      <c r="A171" s="81"/>
      <c r="B171" s="218"/>
      <c r="C171" s="218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2.75" customHeight="1" x14ac:dyDescent="0.2">
      <c r="A172" s="81"/>
      <c r="B172" s="218"/>
      <c r="C172" s="218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2.75" customHeight="1" x14ac:dyDescent="0.2">
      <c r="A173" s="81"/>
      <c r="B173" s="218"/>
      <c r="C173" s="218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2.75" customHeight="1" x14ac:dyDescent="0.2">
      <c r="A174" s="81"/>
      <c r="B174" s="218"/>
      <c r="C174" s="218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2.75" customHeight="1" x14ac:dyDescent="0.2">
      <c r="A175" s="81"/>
      <c r="B175" s="218"/>
      <c r="C175" s="218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2.75" customHeight="1" x14ac:dyDescent="0.2">
      <c r="A176" s="81"/>
      <c r="B176" s="218"/>
      <c r="C176" s="218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2.75" customHeight="1" x14ac:dyDescent="0.2">
      <c r="A177" s="81"/>
      <c r="B177" s="218"/>
      <c r="C177" s="218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2.75" customHeight="1" x14ac:dyDescent="0.2">
      <c r="A178" s="81"/>
      <c r="B178" s="218"/>
      <c r="C178" s="218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2.75" customHeight="1" x14ac:dyDescent="0.2">
      <c r="A179" s="81"/>
      <c r="B179" s="218"/>
      <c r="C179" s="218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2.75" customHeight="1" x14ac:dyDescent="0.2">
      <c r="A180" s="81"/>
      <c r="B180" s="218"/>
      <c r="C180" s="218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2.75" customHeight="1" x14ac:dyDescent="0.2">
      <c r="A181" s="81"/>
      <c r="B181" s="218"/>
      <c r="C181" s="218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2.75" customHeight="1" x14ac:dyDescent="0.2">
      <c r="A182" s="81"/>
      <c r="B182" s="218"/>
      <c r="C182" s="218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2.75" customHeight="1" x14ac:dyDescent="0.2">
      <c r="A183" s="81"/>
      <c r="B183" s="218"/>
      <c r="C183" s="218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2.75" customHeight="1" x14ac:dyDescent="0.2">
      <c r="A184" s="81"/>
      <c r="B184" s="218"/>
      <c r="C184" s="218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2.75" customHeight="1" x14ac:dyDescent="0.2">
      <c r="A185" s="81"/>
      <c r="B185" s="218"/>
      <c r="C185" s="218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2.75" customHeight="1" x14ac:dyDescent="0.2">
      <c r="A186" s="81"/>
      <c r="B186" s="218"/>
      <c r="C186" s="218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2.75" customHeight="1" x14ac:dyDescent="0.2">
      <c r="A187" s="81"/>
      <c r="B187" s="218"/>
      <c r="C187" s="218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2.75" customHeight="1" x14ac:dyDescent="0.2">
      <c r="A188" s="81"/>
      <c r="B188" s="218"/>
      <c r="C188" s="218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2.75" customHeight="1" x14ac:dyDescent="0.2">
      <c r="A189" s="81"/>
      <c r="B189" s="218"/>
      <c r="C189" s="218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2.75" customHeight="1" x14ac:dyDescent="0.2">
      <c r="A190" s="81"/>
      <c r="B190" s="218"/>
      <c r="C190" s="218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2.75" customHeight="1" x14ac:dyDescent="0.2">
      <c r="A191" s="81"/>
      <c r="B191" s="218"/>
      <c r="C191" s="218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2.75" customHeight="1" x14ac:dyDescent="0.2">
      <c r="A192" s="81"/>
      <c r="B192" s="218"/>
      <c r="C192" s="218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2.75" customHeight="1" x14ac:dyDescent="0.2">
      <c r="A193" s="81"/>
      <c r="B193" s="218"/>
      <c r="C193" s="218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2.75" customHeight="1" x14ac:dyDescent="0.2">
      <c r="A194" s="81"/>
      <c r="B194" s="218"/>
      <c r="C194" s="218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2.75" customHeight="1" x14ac:dyDescent="0.2">
      <c r="A195" s="81"/>
      <c r="B195" s="218"/>
      <c r="C195" s="218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2.75" customHeight="1" x14ac:dyDescent="0.2">
      <c r="A196" s="81"/>
      <c r="B196" s="218"/>
      <c r="C196" s="218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2.75" customHeight="1" x14ac:dyDescent="0.2">
      <c r="A197" s="81"/>
      <c r="B197" s="218"/>
      <c r="C197" s="218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2.75" customHeight="1" x14ac:dyDescent="0.2">
      <c r="A198" s="81"/>
      <c r="B198" s="218"/>
      <c r="C198" s="218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2.75" customHeight="1" x14ac:dyDescent="0.2">
      <c r="A199" s="81"/>
      <c r="B199" s="218"/>
      <c r="C199" s="218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2.75" customHeight="1" x14ac:dyDescent="0.2">
      <c r="A200" s="81"/>
      <c r="B200" s="218"/>
      <c r="C200" s="218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2.75" customHeight="1" x14ac:dyDescent="0.2">
      <c r="A201" s="81"/>
      <c r="B201" s="218"/>
      <c r="C201" s="218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2.75" customHeight="1" x14ac:dyDescent="0.2">
      <c r="A202" s="81"/>
      <c r="B202" s="218"/>
      <c r="C202" s="218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2.75" customHeight="1" x14ac:dyDescent="0.2">
      <c r="A203" s="81"/>
      <c r="B203" s="218"/>
      <c r="C203" s="218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2.75" customHeight="1" x14ac:dyDescent="0.2">
      <c r="A204" s="81"/>
      <c r="B204" s="218"/>
      <c r="C204" s="218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2.75" customHeight="1" x14ac:dyDescent="0.2">
      <c r="A205" s="81"/>
      <c r="B205" s="218"/>
      <c r="C205" s="218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2.75" customHeight="1" x14ac:dyDescent="0.2">
      <c r="A206" s="81"/>
      <c r="B206" s="218"/>
      <c r="C206" s="218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2.75" customHeight="1" x14ac:dyDescent="0.2">
      <c r="A207" s="81"/>
      <c r="B207" s="218"/>
      <c r="C207" s="218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2.75" customHeight="1" x14ac:dyDescent="0.2">
      <c r="A208" s="81"/>
      <c r="B208" s="218"/>
      <c r="C208" s="218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2.75" customHeight="1" x14ac:dyDescent="0.2">
      <c r="A209" s="81"/>
      <c r="B209" s="218"/>
      <c r="C209" s="218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2.75" customHeight="1" x14ac:dyDescent="0.2">
      <c r="A210" s="81"/>
      <c r="B210" s="218"/>
      <c r="C210" s="218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2.75" customHeight="1" x14ac:dyDescent="0.2">
      <c r="A211" s="81"/>
      <c r="B211" s="218"/>
      <c r="C211" s="218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2.75" customHeight="1" x14ac:dyDescent="0.2">
      <c r="A212" s="81"/>
      <c r="B212" s="218"/>
      <c r="C212" s="218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2.75" customHeight="1" x14ac:dyDescent="0.2">
      <c r="A213" s="81"/>
      <c r="B213" s="218"/>
      <c r="C213" s="218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2.75" customHeight="1" x14ac:dyDescent="0.2">
      <c r="A214" s="81"/>
      <c r="B214" s="218"/>
      <c r="C214" s="218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2.75" customHeight="1" x14ac:dyDescent="0.2">
      <c r="A215" s="81"/>
      <c r="B215" s="218"/>
      <c r="C215" s="218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2.75" customHeight="1" x14ac:dyDescent="0.2">
      <c r="A216" s="81"/>
      <c r="B216" s="218"/>
      <c r="C216" s="218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2.75" customHeight="1" x14ac:dyDescent="0.2">
      <c r="A217" s="81"/>
      <c r="B217" s="218"/>
      <c r="C217" s="218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2.75" customHeight="1" x14ac:dyDescent="0.2">
      <c r="A218" s="81"/>
      <c r="B218" s="218"/>
      <c r="C218" s="218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2.75" customHeight="1" x14ac:dyDescent="0.2">
      <c r="A219" s="81"/>
      <c r="B219" s="218"/>
      <c r="C219" s="218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2.75" customHeight="1" x14ac:dyDescent="0.2">
      <c r="A220" s="81"/>
      <c r="B220" s="218"/>
      <c r="C220" s="218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2.75" customHeight="1" x14ac:dyDescent="0.2">
      <c r="A221" s="81"/>
      <c r="B221" s="218"/>
      <c r="C221" s="218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2.75" customHeight="1" x14ac:dyDescent="0.2">
      <c r="A222" s="81"/>
      <c r="B222" s="218"/>
      <c r="C222" s="218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2.75" customHeight="1" x14ac:dyDescent="0.2">
      <c r="A223" s="81"/>
      <c r="B223" s="218"/>
      <c r="C223" s="218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2.75" customHeight="1" x14ac:dyDescent="0.2">
      <c r="A224" s="81"/>
      <c r="B224" s="218"/>
      <c r="C224" s="218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2.75" customHeight="1" x14ac:dyDescent="0.2">
      <c r="A225" s="81"/>
      <c r="B225" s="218"/>
      <c r="C225" s="218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2.75" customHeight="1" x14ac:dyDescent="0.2">
      <c r="A226" s="81"/>
      <c r="B226" s="218"/>
      <c r="C226" s="218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2.75" customHeight="1" x14ac:dyDescent="0.2">
      <c r="A227" s="81"/>
      <c r="B227" s="218"/>
      <c r="C227" s="218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2.75" customHeight="1" x14ac:dyDescent="0.2">
      <c r="A228" s="81"/>
      <c r="B228" s="218"/>
      <c r="C228" s="218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2.75" customHeight="1" x14ac:dyDescent="0.2">
      <c r="A229" s="81"/>
      <c r="B229" s="218"/>
      <c r="C229" s="218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2.75" customHeight="1" x14ac:dyDescent="0.2">
      <c r="A230" s="81"/>
      <c r="B230" s="218"/>
      <c r="C230" s="218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2.75" customHeight="1" x14ac:dyDescent="0.2">
      <c r="A231" s="81"/>
      <c r="B231" s="218"/>
      <c r="C231" s="218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12.75" customHeight="1" x14ac:dyDescent="0.2">
      <c r="A232" s="81"/>
      <c r="B232" s="218"/>
      <c r="C232" s="218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12.75" customHeight="1" x14ac:dyDescent="0.2">
      <c r="A233" s="81"/>
      <c r="B233" s="218"/>
      <c r="C233" s="218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12.75" customHeight="1" x14ac:dyDescent="0.2">
      <c r="A234" s="81"/>
      <c r="B234" s="218"/>
      <c r="C234" s="218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12.75" customHeight="1" x14ac:dyDescent="0.2">
      <c r="A235" s="81"/>
      <c r="B235" s="218"/>
      <c r="C235" s="218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12.75" customHeight="1" x14ac:dyDescent="0.2">
      <c r="A236" s="81"/>
      <c r="B236" s="218"/>
      <c r="C236" s="218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12.75" customHeight="1" x14ac:dyDescent="0.2">
      <c r="A237" s="81"/>
      <c r="B237" s="218"/>
      <c r="C237" s="218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12.75" customHeight="1" x14ac:dyDescent="0.2">
      <c r="A238" s="81"/>
      <c r="B238" s="218"/>
      <c r="C238" s="218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12.75" customHeight="1" x14ac:dyDescent="0.2">
      <c r="A239" s="81"/>
      <c r="B239" s="218"/>
      <c r="C239" s="218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12.75" customHeight="1" x14ac:dyDescent="0.2">
      <c r="A240" s="81"/>
      <c r="B240" s="218"/>
      <c r="C240" s="218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2.75" customHeight="1" x14ac:dyDescent="0.2">
      <c r="A241" s="81"/>
      <c r="B241" s="218"/>
      <c r="C241" s="218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12.75" customHeight="1" x14ac:dyDescent="0.2">
      <c r="A242" s="81"/>
      <c r="B242" s="218"/>
      <c r="C242" s="218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12.75" customHeight="1" x14ac:dyDescent="0.2">
      <c r="A243" s="81"/>
      <c r="B243" s="218"/>
      <c r="C243" s="218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12.75" customHeight="1" x14ac:dyDescent="0.2">
      <c r="A244" s="81"/>
      <c r="B244" s="218"/>
      <c r="C244" s="218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2.75" customHeight="1" x14ac:dyDescent="0.2">
      <c r="A245" s="81"/>
      <c r="B245" s="218"/>
      <c r="C245" s="218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12.75" customHeight="1" x14ac:dyDescent="0.2">
      <c r="A246" s="81"/>
      <c r="B246" s="218"/>
      <c r="C246" s="218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12.75" customHeight="1" x14ac:dyDescent="0.2">
      <c r="A247" s="81"/>
      <c r="B247" s="218"/>
      <c r="C247" s="218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12.75" customHeight="1" x14ac:dyDescent="0.2">
      <c r="A248" s="81"/>
      <c r="B248" s="218"/>
      <c r="C248" s="218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12.75" customHeight="1" x14ac:dyDescent="0.2">
      <c r="A249" s="81"/>
      <c r="B249" s="218"/>
      <c r="C249" s="218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12.75" customHeight="1" x14ac:dyDescent="0.2">
      <c r="A250" s="81"/>
      <c r="B250" s="218"/>
      <c r="C250" s="218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12.75" customHeight="1" x14ac:dyDescent="0.2">
      <c r="A251" s="81"/>
      <c r="B251" s="218"/>
      <c r="C251" s="218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12.75" customHeight="1" x14ac:dyDescent="0.2">
      <c r="A252" s="81"/>
      <c r="B252" s="218"/>
      <c r="C252" s="218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2.75" customHeight="1" x14ac:dyDescent="0.2">
      <c r="A253" s="81"/>
      <c r="B253" s="218"/>
      <c r="C253" s="218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12.75" customHeight="1" x14ac:dyDescent="0.2">
      <c r="A254" s="81"/>
      <c r="B254" s="218"/>
      <c r="C254" s="218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12.75" customHeight="1" x14ac:dyDescent="0.2">
      <c r="A255" s="81"/>
      <c r="B255" s="218"/>
      <c r="C255" s="218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12.75" customHeight="1" x14ac:dyDescent="0.2">
      <c r="A256" s="81"/>
      <c r="B256" s="218"/>
      <c r="C256" s="218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12.75" customHeight="1" x14ac:dyDescent="0.2">
      <c r="A257" s="81"/>
      <c r="B257" s="218"/>
      <c r="C257" s="218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2.75" customHeight="1" x14ac:dyDescent="0.2">
      <c r="A258" s="81"/>
      <c r="B258" s="218"/>
      <c r="C258" s="218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12.75" customHeight="1" x14ac:dyDescent="0.2">
      <c r="A259" s="81"/>
      <c r="B259" s="218"/>
      <c r="C259" s="218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12.75" customHeight="1" x14ac:dyDescent="0.2">
      <c r="A260" s="81"/>
      <c r="B260" s="218"/>
      <c r="C260" s="218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12.75" customHeight="1" x14ac:dyDescent="0.2">
      <c r="A261" s="81"/>
      <c r="B261" s="218"/>
      <c r="C261" s="218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12.75" customHeight="1" x14ac:dyDescent="0.2">
      <c r="A262" s="81"/>
      <c r="B262" s="218"/>
      <c r="C262" s="218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2.75" customHeight="1" x14ac:dyDescent="0.2">
      <c r="A263" s="81"/>
      <c r="B263" s="218"/>
      <c r="C263" s="218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12.75" customHeight="1" x14ac:dyDescent="0.2">
      <c r="A264" s="81"/>
      <c r="B264" s="218"/>
      <c r="C264" s="218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12.75" customHeight="1" x14ac:dyDescent="0.2">
      <c r="A265" s="81"/>
      <c r="B265" s="218"/>
      <c r="C265" s="218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12.75" customHeight="1" x14ac:dyDescent="0.2">
      <c r="A266" s="81"/>
      <c r="B266" s="218"/>
      <c r="C266" s="218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12.75" customHeight="1" x14ac:dyDescent="0.2">
      <c r="A267" s="81"/>
      <c r="B267" s="218"/>
      <c r="C267" s="218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2.75" customHeight="1" x14ac:dyDescent="0.2">
      <c r="A268" s="81"/>
      <c r="B268" s="218"/>
      <c r="C268" s="218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12.75" customHeight="1" x14ac:dyDescent="0.2">
      <c r="A269" s="81"/>
      <c r="B269" s="218"/>
      <c r="C269" s="218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12.75" customHeight="1" x14ac:dyDescent="0.2">
      <c r="A270" s="81"/>
      <c r="B270" s="218"/>
      <c r="C270" s="218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12.75" customHeight="1" x14ac:dyDescent="0.2">
      <c r="A271" s="81"/>
      <c r="B271" s="218"/>
      <c r="C271" s="218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12.75" customHeight="1" x14ac:dyDescent="0.2">
      <c r="A272" s="81"/>
      <c r="B272" s="218"/>
      <c r="C272" s="218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12.75" customHeight="1" x14ac:dyDescent="0.2">
      <c r="A273" s="81"/>
      <c r="B273" s="218"/>
      <c r="C273" s="218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12.75" customHeight="1" x14ac:dyDescent="0.2">
      <c r="A274" s="81"/>
      <c r="B274" s="218"/>
      <c r="C274" s="218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12.75" customHeight="1" x14ac:dyDescent="0.2">
      <c r="A275" s="81"/>
      <c r="B275" s="218"/>
      <c r="C275" s="218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12.75" customHeight="1" x14ac:dyDescent="0.2">
      <c r="A276" s="81"/>
      <c r="B276" s="218"/>
      <c r="C276" s="218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12.75" customHeight="1" x14ac:dyDescent="0.2">
      <c r="A277" s="81"/>
      <c r="B277" s="218"/>
      <c r="C277" s="218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12.75" customHeight="1" x14ac:dyDescent="0.2">
      <c r="A278" s="81"/>
      <c r="B278" s="218"/>
      <c r="C278" s="218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12.75" customHeight="1" x14ac:dyDescent="0.2">
      <c r="A279" s="81"/>
      <c r="B279" s="218"/>
      <c r="C279" s="218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12.75" customHeight="1" x14ac:dyDescent="0.2">
      <c r="A280" s="81"/>
      <c r="B280" s="218"/>
      <c r="C280" s="218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2.75" customHeight="1" x14ac:dyDescent="0.2">
      <c r="A281" s="81"/>
      <c r="B281" s="218"/>
      <c r="C281" s="218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 ht="12.75" customHeight="1" x14ac:dyDescent="0.2">
      <c r="A282" s="81"/>
      <c r="B282" s="218"/>
      <c r="C282" s="218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 ht="12.75" customHeight="1" x14ac:dyDescent="0.2">
      <c r="A283" s="81"/>
      <c r="B283" s="218"/>
      <c r="C283" s="218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 ht="12.75" customHeight="1" x14ac:dyDescent="0.2">
      <c r="A284" s="81"/>
      <c r="B284" s="218"/>
      <c r="C284" s="218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 ht="12.75" customHeight="1" x14ac:dyDescent="0.2">
      <c r="A285" s="81"/>
      <c r="B285" s="218"/>
      <c r="C285" s="218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 ht="12.75" customHeight="1" x14ac:dyDescent="0.2">
      <c r="A286" s="81"/>
      <c r="B286" s="218"/>
      <c r="C286" s="218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 ht="12.75" customHeight="1" x14ac:dyDescent="0.2">
      <c r="A287" s="81"/>
      <c r="B287" s="218"/>
      <c r="C287" s="218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 ht="12.75" customHeight="1" x14ac:dyDescent="0.2">
      <c r="A288" s="81"/>
      <c r="B288" s="218"/>
      <c r="C288" s="218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 ht="12.75" customHeight="1" x14ac:dyDescent="0.2">
      <c r="A289" s="81"/>
      <c r="B289" s="218"/>
      <c r="C289" s="218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 ht="12.75" customHeight="1" x14ac:dyDescent="0.2">
      <c r="A290" s="81"/>
      <c r="B290" s="218"/>
      <c r="C290" s="218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 ht="12.75" customHeight="1" x14ac:dyDescent="0.2">
      <c r="A291" s="81"/>
      <c r="B291" s="218"/>
      <c r="C291" s="218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 ht="12.75" customHeight="1" x14ac:dyDescent="0.2">
      <c r="A292" s="81"/>
      <c r="B292" s="218"/>
      <c r="C292" s="218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 ht="12.75" customHeight="1" x14ac:dyDescent="0.2">
      <c r="A293" s="81"/>
      <c r="B293" s="218"/>
      <c r="C293" s="218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 ht="12.75" customHeight="1" x14ac:dyDescent="0.2">
      <c r="A294" s="81"/>
      <c r="B294" s="218"/>
      <c r="C294" s="218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 ht="12.75" customHeight="1" x14ac:dyDescent="0.2">
      <c r="A295" s="81"/>
      <c r="B295" s="218"/>
      <c r="C295" s="218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 ht="12.75" customHeight="1" x14ac:dyDescent="0.2">
      <c r="A296" s="81"/>
      <c r="B296" s="218"/>
      <c r="C296" s="218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 ht="12.75" customHeight="1" x14ac:dyDescent="0.2">
      <c r="A297" s="81"/>
      <c r="B297" s="218"/>
      <c r="C297" s="218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 ht="12.75" customHeight="1" x14ac:dyDescent="0.2">
      <c r="A298" s="81"/>
      <c r="B298" s="218"/>
      <c r="C298" s="218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 ht="12.75" customHeight="1" x14ac:dyDescent="0.2">
      <c r="A299" s="81"/>
      <c r="B299" s="218"/>
      <c r="C299" s="218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 ht="12.75" customHeight="1" x14ac:dyDescent="0.2">
      <c r="A300" s="81"/>
      <c r="B300" s="218"/>
      <c r="C300" s="218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 ht="12.75" customHeight="1" x14ac:dyDescent="0.2">
      <c r="A301" s="81"/>
      <c r="B301" s="218"/>
      <c r="C301" s="218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 ht="12.75" customHeight="1" x14ac:dyDescent="0.2">
      <c r="A302" s="81"/>
      <c r="B302" s="218"/>
      <c r="C302" s="218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 ht="12.75" customHeight="1" x14ac:dyDescent="0.2">
      <c r="A303" s="81"/>
      <c r="B303" s="218"/>
      <c r="C303" s="218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 ht="12.75" customHeight="1" x14ac:dyDescent="0.2">
      <c r="A304" s="81"/>
      <c r="B304" s="218"/>
      <c r="C304" s="218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 ht="12.75" customHeight="1" x14ac:dyDescent="0.2">
      <c r="A305" s="81"/>
      <c r="B305" s="218"/>
      <c r="C305" s="218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 ht="12.75" customHeight="1" x14ac:dyDescent="0.2">
      <c r="A306" s="81"/>
      <c r="B306" s="218"/>
      <c r="C306" s="218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 ht="12.75" customHeight="1" x14ac:dyDescent="0.2">
      <c r="A307" s="81"/>
      <c r="B307" s="218"/>
      <c r="C307" s="218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 ht="12.75" customHeight="1" x14ac:dyDescent="0.2">
      <c r="A308" s="81"/>
      <c r="B308" s="218"/>
      <c r="C308" s="218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 ht="12.75" customHeight="1" x14ac:dyDescent="0.2">
      <c r="A309" s="81"/>
      <c r="B309" s="218"/>
      <c r="C309" s="218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 ht="12.75" customHeight="1" x14ac:dyDescent="0.2">
      <c r="A310" s="81"/>
      <c r="B310" s="218"/>
      <c r="C310" s="218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 ht="12.75" customHeight="1" x14ac:dyDescent="0.2">
      <c r="A311" s="81"/>
      <c r="B311" s="218"/>
      <c r="C311" s="218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 ht="12.75" customHeight="1" x14ac:dyDescent="0.2">
      <c r="A312" s="81"/>
      <c r="B312" s="218"/>
      <c r="C312" s="218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 ht="12.75" customHeight="1" x14ac:dyDescent="0.2">
      <c r="A313" s="81"/>
      <c r="B313" s="218"/>
      <c r="C313" s="218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 ht="12.75" customHeight="1" x14ac:dyDescent="0.2">
      <c r="A314" s="81"/>
      <c r="B314" s="218"/>
      <c r="C314" s="218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 ht="12.75" customHeight="1" x14ac:dyDescent="0.2">
      <c r="A315" s="81"/>
      <c r="B315" s="218"/>
      <c r="C315" s="218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 ht="12.75" customHeight="1" x14ac:dyDescent="0.2">
      <c r="A316" s="81"/>
      <c r="B316" s="218"/>
      <c r="C316" s="218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 ht="12.75" customHeight="1" x14ac:dyDescent="0.2">
      <c r="A317" s="81"/>
      <c r="B317" s="218"/>
      <c r="C317" s="218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 ht="12.75" customHeight="1" x14ac:dyDescent="0.2">
      <c r="A318" s="81"/>
      <c r="B318" s="218"/>
      <c r="C318" s="218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 ht="12.75" customHeight="1" x14ac:dyDescent="0.2">
      <c r="A319" s="81"/>
      <c r="B319" s="218"/>
      <c r="C319" s="218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 ht="12.75" customHeight="1" x14ac:dyDescent="0.2">
      <c r="A320" s="81"/>
      <c r="B320" s="218"/>
      <c r="C320" s="218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 ht="12.75" customHeight="1" x14ac:dyDescent="0.2">
      <c r="A321" s="81"/>
      <c r="B321" s="218"/>
      <c r="C321" s="218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 ht="12.75" customHeight="1" x14ac:dyDescent="0.2">
      <c r="A322" s="81"/>
      <c r="B322" s="218"/>
      <c r="C322" s="218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 ht="12.75" customHeight="1" x14ac:dyDescent="0.2">
      <c r="A323" s="81"/>
      <c r="B323" s="218"/>
      <c r="C323" s="218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 ht="12.75" customHeight="1" x14ac:dyDescent="0.2">
      <c r="A324" s="81"/>
      <c r="B324" s="218"/>
      <c r="C324" s="218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 ht="12.75" customHeight="1" x14ac:dyDescent="0.2">
      <c r="A325" s="81"/>
      <c r="B325" s="218"/>
      <c r="C325" s="218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 ht="12.75" customHeight="1" x14ac:dyDescent="0.2">
      <c r="A326" s="81"/>
      <c r="B326" s="218"/>
      <c r="C326" s="218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 ht="12.75" customHeight="1" x14ac:dyDescent="0.2">
      <c r="A327" s="81"/>
      <c r="B327" s="218"/>
      <c r="C327" s="218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 ht="12.75" customHeight="1" x14ac:dyDescent="0.2">
      <c r="A328" s="81"/>
      <c r="B328" s="218"/>
      <c r="C328" s="218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 ht="12.75" customHeight="1" x14ac:dyDescent="0.2">
      <c r="A329" s="81"/>
      <c r="B329" s="218"/>
      <c r="C329" s="218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 ht="12.75" customHeight="1" x14ac:dyDescent="0.2">
      <c r="A330" s="81"/>
      <c r="B330" s="218"/>
      <c r="C330" s="218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 ht="12.75" customHeight="1" x14ac:dyDescent="0.2">
      <c r="A331" s="81"/>
      <c r="B331" s="218"/>
      <c r="C331" s="218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 ht="12.75" customHeight="1" x14ac:dyDescent="0.2">
      <c r="A332" s="81"/>
      <c r="B332" s="218"/>
      <c r="C332" s="218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 ht="12.75" customHeight="1" x14ac:dyDescent="0.2">
      <c r="A333" s="81"/>
      <c r="B333" s="218"/>
      <c r="C333" s="218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 ht="12.75" customHeight="1" x14ac:dyDescent="0.2">
      <c r="A334" s="81"/>
      <c r="B334" s="218"/>
      <c r="C334" s="218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 ht="12.75" customHeight="1" x14ac:dyDescent="0.2">
      <c r="A335" s="81"/>
      <c r="B335" s="218"/>
      <c r="C335" s="218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 ht="12.75" customHeight="1" x14ac:dyDescent="0.2">
      <c r="A336" s="81"/>
      <c r="B336" s="218"/>
      <c r="C336" s="218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 ht="12.75" customHeight="1" x14ac:dyDescent="0.2">
      <c r="A337" s="81"/>
      <c r="B337" s="218"/>
      <c r="C337" s="218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 ht="12.75" customHeight="1" x14ac:dyDescent="0.2">
      <c r="A338" s="81"/>
      <c r="B338" s="218"/>
      <c r="C338" s="218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 ht="12.75" customHeight="1" x14ac:dyDescent="0.2">
      <c r="A339" s="81"/>
      <c r="B339" s="218"/>
      <c r="C339" s="218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 ht="12.75" customHeight="1" x14ac:dyDescent="0.2">
      <c r="A340" s="81"/>
      <c r="B340" s="218"/>
      <c r="C340" s="218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 ht="12.75" customHeight="1" x14ac:dyDescent="0.2">
      <c r="A341" s="81"/>
      <c r="B341" s="218"/>
      <c r="C341" s="218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 ht="12.75" customHeight="1" x14ac:dyDescent="0.2">
      <c r="A342" s="81"/>
      <c r="B342" s="218"/>
      <c r="C342" s="218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 ht="12.75" customHeight="1" x14ac:dyDescent="0.2">
      <c r="A343" s="81"/>
      <c r="B343" s="218"/>
      <c r="C343" s="218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 ht="12.75" customHeight="1" x14ac:dyDescent="0.2">
      <c r="A344" s="81"/>
      <c r="B344" s="218"/>
      <c r="C344" s="218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 ht="12.75" customHeight="1" x14ac:dyDescent="0.2">
      <c r="A345" s="81"/>
      <c r="B345" s="218"/>
      <c r="C345" s="218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 ht="12.75" customHeight="1" x14ac:dyDescent="0.2">
      <c r="A346" s="81"/>
      <c r="B346" s="218"/>
      <c r="C346" s="218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 ht="12.75" customHeight="1" x14ac:dyDescent="0.2">
      <c r="A347" s="81"/>
      <c r="B347" s="218"/>
      <c r="C347" s="218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 ht="12.75" customHeight="1" x14ac:dyDescent="0.2">
      <c r="A348" s="81"/>
      <c r="B348" s="218"/>
      <c r="C348" s="218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 ht="12.75" customHeight="1" x14ac:dyDescent="0.2">
      <c r="A349" s="81"/>
      <c r="B349" s="218"/>
      <c r="C349" s="218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 ht="12.75" customHeight="1" x14ac:dyDescent="0.2">
      <c r="A350" s="81"/>
      <c r="B350" s="218"/>
      <c r="C350" s="218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 ht="12.75" customHeight="1" x14ac:dyDescent="0.2">
      <c r="A351" s="81"/>
      <c r="B351" s="218"/>
      <c r="C351" s="218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 ht="12.75" customHeight="1" x14ac:dyDescent="0.2">
      <c r="A352" s="81"/>
      <c r="B352" s="218"/>
      <c r="C352" s="218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 ht="12.75" customHeight="1" x14ac:dyDescent="0.2">
      <c r="A353" s="81"/>
      <c r="B353" s="218"/>
      <c r="C353" s="218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 ht="12.75" customHeight="1" x14ac:dyDescent="0.2">
      <c r="A354" s="81"/>
      <c r="B354" s="218"/>
      <c r="C354" s="218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 ht="12.75" customHeight="1" x14ac:dyDescent="0.2">
      <c r="A355" s="81"/>
      <c r="B355" s="218"/>
      <c r="C355" s="218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 ht="12.75" customHeight="1" x14ac:dyDescent="0.2">
      <c r="A356" s="81"/>
      <c r="B356" s="218"/>
      <c r="C356" s="218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 ht="12.75" customHeight="1" x14ac:dyDescent="0.2">
      <c r="A357" s="81"/>
      <c r="B357" s="218"/>
      <c r="C357" s="218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 ht="12.75" customHeight="1" x14ac:dyDescent="0.2">
      <c r="A358" s="81"/>
      <c r="B358" s="218"/>
      <c r="C358" s="218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 ht="12.75" customHeight="1" x14ac:dyDescent="0.2">
      <c r="A359" s="81"/>
      <c r="B359" s="218"/>
      <c r="C359" s="218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 ht="12.75" customHeight="1" x14ac:dyDescent="0.2">
      <c r="A360" s="81"/>
      <c r="B360" s="218"/>
      <c r="C360" s="218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 ht="12.75" customHeight="1" x14ac:dyDescent="0.2">
      <c r="A361" s="81"/>
      <c r="B361" s="218"/>
      <c r="C361" s="218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 ht="12.75" customHeight="1" x14ac:dyDescent="0.2">
      <c r="A362" s="81"/>
      <c r="B362" s="218"/>
      <c r="C362" s="218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 ht="12.75" customHeight="1" x14ac:dyDescent="0.2">
      <c r="A363" s="81"/>
      <c r="B363" s="218"/>
      <c r="C363" s="218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 ht="12.75" customHeight="1" x14ac:dyDescent="0.2">
      <c r="A364" s="81"/>
      <c r="B364" s="218"/>
      <c r="C364" s="218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 ht="12.75" customHeight="1" x14ac:dyDescent="0.2">
      <c r="A365" s="81"/>
      <c r="B365" s="218"/>
      <c r="C365" s="218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 ht="12.75" customHeight="1" x14ac:dyDescent="0.2">
      <c r="A366" s="81"/>
      <c r="B366" s="218"/>
      <c r="C366" s="218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 ht="12.75" customHeight="1" x14ac:dyDescent="0.2">
      <c r="A367" s="81"/>
      <c r="B367" s="218"/>
      <c r="C367" s="218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 ht="12.75" customHeight="1" x14ac:dyDescent="0.2">
      <c r="A368" s="81"/>
      <c r="B368" s="218"/>
      <c r="C368" s="218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 ht="12.75" customHeight="1" x14ac:dyDescent="0.2">
      <c r="A369" s="81"/>
      <c r="B369" s="218"/>
      <c r="C369" s="218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 ht="12.75" customHeight="1" x14ac:dyDescent="0.2">
      <c r="A370" s="81"/>
      <c r="B370" s="218"/>
      <c r="C370" s="218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 ht="12.75" customHeight="1" x14ac:dyDescent="0.2">
      <c r="A371" s="81"/>
      <c r="B371" s="218"/>
      <c r="C371" s="218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 ht="12.75" customHeight="1" x14ac:dyDescent="0.2">
      <c r="A372" s="81"/>
      <c r="B372" s="218"/>
      <c r="C372" s="218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 ht="12.75" customHeight="1" x14ac:dyDescent="0.2">
      <c r="A373" s="81"/>
      <c r="B373" s="218"/>
      <c r="C373" s="218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 ht="12.75" customHeight="1" x14ac:dyDescent="0.2">
      <c r="A374" s="81"/>
      <c r="B374" s="218"/>
      <c r="C374" s="218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 ht="12.75" customHeight="1" x14ac:dyDescent="0.2">
      <c r="A375" s="81"/>
      <c r="B375" s="218"/>
      <c r="C375" s="218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 ht="12.75" customHeight="1" x14ac:dyDescent="0.2">
      <c r="A376" s="81"/>
      <c r="B376" s="218"/>
      <c r="C376" s="218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 ht="12.75" customHeight="1" x14ac:dyDescent="0.2">
      <c r="A377" s="81"/>
      <c r="B377" s="218"/>
      <c r="C377" s="218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 ht="12.75" customHeight="1" x14ac:dyDescent="0.2">
      <c r="A378" s="81"/>
      <c r="B378" s="218"/>
      <c r="C378" s="218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 ht="12.75" customHeight="1" x14ac:dyDescent="0.2">
      <c r="A379" s="81"/>
      <c r="B379" s="218"/>
      <c r="C379" s="218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 ht="12.75" customHeight="1" x14ac:dyDescent="0.2">
      <c r="A380" s="81"/>
      <c r="B380" s="218"/>
      <c r="C380" s="218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 ht="12.75" customHeight="1" x14ac:dyDescent="0.2">
      <c r="A381" s="81"/>
      <c r="B381" s="218"/>
      <c r="C381" s="218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 ht="12.75" customHeight="1" x14ac:dyDescent="0.2">
      <c r="A382" s="81"/>
      <c r="B382" s="218"/>
      <c r="C382" s="218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 ht="12.75" customHeight="1" x14ac:dyDescent="0.2">
      <c r="A383" s="81"/>
      <c r="B383" s="218"/>
      <c r="C383" s="218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 ht="12.75" customHeight="1" x14ac:dyDescent="0.2">
      <c r="A384" s="81"/>
      <c r="B384" s="218"/>
      <c r="C384" s="218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 ht="12.75" customHeight="1" x14ac:dyDescent="0.2">
      <c r="A385" s="81"/>
      <c r="B385" s="218"/>
      <c r="C385" s="218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 ht="12.75" customHeight="1" x14ac:dyDescent="0.2">
      <c r="A386" s="81"/>
      <c r="B386" s="218"/>
      <c r="C386" s="218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 ht="12.75" customHeight="1" x14ac:dyDescent="0.2">
      <c r="A387" s="81"/>
      <c r="B387" s="218"/>
      <c r="C387" s="218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 ht="12.75" customHeight="1" x14ac:dyDescent="0.2">
      <c r="A388" s="81"/>
      <c r="B388" s="218"/>
      <c r="C388" s="218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 ht="12.75" customHeight="1" x14ac:dyDescent="0.2">
      <c r="A389" s="81"/>
      <c r="B389" s="218"/>
      <c r="C389" s="218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 ht="12.75" customHeight="1" x14ac:dyDescent="0.2">
      <c r="A390" s="81"/>
      <c r="B390" s="218"/>
      <c r="C390" s="218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 ht="12.75" customHeight="1" x14ac:dyDescent="0.2">
      <c r="A391" s="81"/>
      <c r="B391" s="218"/>
      <c r="C391" s="218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 ht="12.75" customHeight="1" x14ac:dyDescent="0.2">
      <c r="A392" s="81"/>
      <c r="B392" s="218"/>
      <c r="C392" s="218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 ht="12.75" customHeight="1" x14ac:dyDescent="0.2">
      <c r="A393" s="81"/>
      <c r="B393" s="218"/>
      <c r="C393" s="218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 ht="12.75" customHeight="1" x14ac:dyDescent="0.2">
      <c r="A394" s="81"/>
      <c r="B394" s="218"/>
      <c r="C394" s="218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 ht="12.75" customHeight="1" x14ac:dyDescent="0.2">
      <c r="A395" s="81"/>
      <c r="B395" s="218"/>
      <c r="C395" s="218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 ht="12.75" customHeight="1" x14ac:dyDescent="0.2">
      <c r="A396" s="81"/>
      <c r="B396" s="218"/>
      <c r="C396" s="218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 ht="12.75" customHeight="1" x14ac:dyDescent="0.2">
      <c r="A397" s="81"/>
      <c r="B397" s="218"/>
      <c r="C397" s="218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 ht="12.75" customHeight="1" x14ac:dyDescent="0.2">
      <c r="A398" s="81"/>
      <c r="B398" s="218"/>
      <c r="C398" s="218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 ht="12.75" customHeight="1" x14ac:dyDescent="0.2">
      <c r="A399" s="81"/>
      <c r="B399" s="218"/>
      <c r="C399" s="218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 ht="12.75" customHeight="1" x14ac:dyDescent="0.2">
      <c r="A400" s="81"/>
      <c r="B400" s="218"/>
      <c r="C400" s="218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 ht="12.75" customHeight="1" x14ac:dyDescent="0.2">
      <c r="A401" s="81"/>
      <c r="B401" s="218"/>
      <c r="C401" s="218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 ht="12.75" customHeight="1" x14ac:dyDescent="0.2">
      <c r="A402" s="81"/>
      <c r="B402" s="218"/>
      <c r="C402" s="218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 ht="12.75" customHeight="1" x14ac:dyDescent="0.2">
      <c r="A403" s="81"/>
      <c r="B403" s="218"/>
      <c r="C403" s="218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 ht="12.75" customHeight="1" x14ac:dyDescent="0.2">
      <c r="A404" s="81"/>
      <c r="B404" s="218"/>
      <c r="C404" s="218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 ht="12.75" customHeight="1" x14ac:dyDescent="0.2">
      <c r="A405" s="81"/>
      <c r="B405" s="218"/>
      <c r="C405" s="218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 ht="12.75" customHeight="1" x14ac:dyDescent="0.2">
      <c r="A406" s="81"/>
      <c r="B406" s="218"/>
      <c r="C406" s="218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 ht="12.75" customHeight="1" x14ac:dyDescent="0.2">
      <c r="A407" s="81"/>
      <c r="B407" s="218"/>
      <c r="C407" s="218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 ht="12.75" customHeight="1" x14ac:dyDescent="0.2">
      <c r="A408" s="81"/>
      <c r="B408" s="218"/>
      <c r="C408" s="218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 ht="12.75" customHeight="1" x14ac:dyDescent="0.2">
      <c r="A409" s="81"/>
      <c r="B409" s="218"/>
      <c r="C409" s="218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 ht="12.75" customHeight="1" x14ac:dyDescent="0.2">
      <c r="A410" s="81"/>
      <c r="B410" s="218"/>
      <c r="C410" s="218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 ht="12.75" customHeight="1" x14ac:dyDescent="0.2">
      <c r="A411" s="81"/>
      <c r="B411" s="218"/>
      <c r="C411" s="218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 ht="12.75" customHeight="1" x14ac:dyDescent="0.2">
      <c r="A412" s="81"/>
      <c r="B412" s="218"/>
      <c r="C412" s="218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 ht="12.75" customHeight="1" x14ac:dyDescent="0.2">
      <c r="A413" s="81"/>
      <c r="B413" s="218"/>
      <c r="C413" s="218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 ht="12.75" customHeight="1" x14ac:dyDescent="0.2">
      <c r="A414" s="81"/>
      <c r="B414" s="218"/>
      <c r="C414" s="218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 ht="12.75" customHeight="1" x14ac:dyDescent="0.2">
      <c r="A415" s="81"/>
      <c r="B415" s="218"/>
      <c r="C415" s="218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 ht="12.75" customHeight="1" x14ac:dyDescent="0.2">
      <c r="A416" s="81"/>
      <c r="B416" s="218"/>
      <c r="C416" s="218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 ht="12.75" customHeight="1" x14ac:dyDescent="0.2">
      <c r="A417" s="81"/>
      <c r="B417" s="218"/>
      <c r="C417" s="218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ht="12.75" customHeight="1" x14ac:dyDescent="0.2">
      <c r="A418" s="81"/>
      <c r="B418" s="218"/>
      <c r="C418" s="218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2.75" customHeight="1" x14ac:dyDescent="0.2">
      <c r="A419" s="81"/>
      <c r="B419" s="218"/>
      <c r="C419" s="218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 ht="12.75" customHeight="1" x14ac:dyDescent="0.2">
      <c r="A420" s="81"/>
      <c r="B420" s="218"/>
      <c r="C420" s="218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 ht="12.75" customHeight="1" x14ac:dyDescent="0.2">
      <c r="A421" s="81"/>
      <c r="B421" s="218"/>
      <c r="C421" s="218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 ht="12.75" customHeight="1" x14ac:dyDescent="0.2">
      <c r="A422" s="81"/>
      <c r="B422" s="218"/>
      <c r="C422" s="218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 ht="12.75" customHeight="1" x14ac:dyDescent="0.2">
      <c r="A423" s="81"/>
      <c r="B423" s="218"/>
      <c r="C423" s="218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 ht="12.75" customHeight="1" x14ac:dyDescent="0.2">
      <c r="A424" s="81"/>
      <c r="B424" s="218"/>
      <c r="C424" s="218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 ht="12.75" customHeight="1" x14ac:dyDescent="0.2">
      <c r="A425" s="81"/>
      <c r="B425" s="218"/>
      <c r="C425" s="218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 ht="12.75" customHeight="1" x14ac:dyDescent="0.2">
      <c r="A426" s="81"/>
      <c r="B426" s="218"/>
      <c r="C426" s="218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 ht="12.75" customHeight="1" x14ac:dyDescent="0.2">
      <c r="A427" s="81"/>
      <c r="B427" s="218"/>
      <c r="C427" s="218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 ht="12.75" customHeight="1" x14ac:dyDescent="0.2">
      <c r="A428" s="81"/>
      <c r="B428" s="218"/>
      <c r="C428" s="218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 ht="12.75" customHeight="1" x14ac:dyDescent="0.2">
      <c r="A429" s="81"/>
      <c r="B429" s="218"/>
      <c r="C429" s="218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 ht="12.75" customHeight="1" x14ac:dyDescent="0.2">
      <c r="A430" s="81"/>
      <c r="B430" s="218"/>
      <c r="C430" s="218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 ht="12.75" customHeight="1" x14ac:dyDescent="0.2">
      <c r="A431" s="81"/>
      <c r="B431" s="218"/>
      <c r="C431" s="218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 ht="12.75" customHeight="1" x14ac:dyDescent="0.2">
      <c r="A432" s="81"/>
      <c r="B432" s="218"/>
      <c r="C432" s="218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 ht="12.75" customHeight="1" x14ac:dyDescent="0.2">
      <c r="A433" s="81"/>
      <c r="B433" s="218"/>
      <c r="C433" s="218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 ht="12.75" customHeight="1" x14ac:dyDescent="0.2">
      <c r="A434" s="81"/>
      <c r="B434" s="218"/>
      <c r="C434" s="218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 ht="12.75" customHeight="1" x14ac:dyDescent="0.2">
      <c r="A435" s="81"/>
      <c r="B435" s="218"/>
      <c r="C435" s="218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 ht="12.75" customHeight="1" x14ac:dyDescent="0.2">
      <c r="A436" s="81"/>
      <c r="B436" s="218"/>
      <c r="C436" s="218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 ht="12.75" customHeight="1" x14ac:dyDescent="0.2">
      <c r="A437" s="81"/>
      <c r="B437" s="218"/>
      <c r="C437" s="218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 ht="12.75" customHeight="1" x14ac:dyDescent="0.2">
      <c r="A438" s="81"/>
      <c r="B438" s="218"/>
      <c r="C438" s="218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 ht="12.75" customHeight="1" x14ac:dyDescent="0.2">
      <c r="A439" s="81"/>
      <c r="B439" s="218"/>
      <c r="C439" s="218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 ht="12.75" customHeight="1" x14ac:dyDescent="0.2">
      <c r="A440" s="81"/>
      <c r="B440" s="218"/>
      <c r="C440" s="218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 ht="12.75" customHeight="1" x14ac:dyDescent="0.2">
      <c r="A441" s="81"/>
      <c r="B441" s="218"/>
      <c r="C441" s="218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 ht="12.75" customHeight="1" x14ac:dyDescent="0.2">
      <c r="A442" s="81"/>
      <c r="B442" s="218"/>
      <c r="C442" s="218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 ht="12.75" customHeight="1" x14ac:dyDescent="0.2">
      <c r="A443" s="81"/>
      <c r="B443" s="218"/>
      <c r="C443" s="218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 ht="12.75" customHeight="1" x14ac:dyDescent="0.2">
      <c r="A444" s="81"/>
      <c r="B444" s="218"/>
      <c r="C444" s="218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 ht="12.75" customHeight="1" x14ac:dyDescent="0.2">
      <c r="A445" s="81"/>
      <c r="B445" s="218"/>
      <c r="C445" s="218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 ht="12.75" customHeight="1" x14ac:dyDescent="0.2">
      <c r="A446" s="81"/>
      <c r="B446" s="218"/>
      <c r="C446" s="218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 ht="12.75" customHeight="1" x14ac:dyDescent="0.2">
      <c r="A447" s="81"/>
      <c r="B447" s="218"/>
      <c r="C447" s="218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 ht="12.75" customHeight="1" x14ac:dyDescent="0.2">
      <c r="A448" s="81"/>
      <c r="B448" s="218"/>
      <c r="C448" s="218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 ht="12.75" customHeight="1" x14ac:dyDescent="0.2">
      <c r="A449" s="81"/>
      <c r="B449" s="218"/>
      <c r="C449" s="218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 ht="12.75" customHeight="1" x14ac:dyDescent="0.2">
      <c r="A450" s="81"/>
      <c r="B450" s="218"/>
      <c r="C450" s="218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 ht="12.75" customHeight="1" x14ac:dyDescent="0.2">
      <c r="A451" s="81"/>
      <c r="B451" s="218"/>
      <c r="C451" s="218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 ht="12.75" customHeight="1" x14ac:dyDescent="0.2">
      <c r="A452" s="81"/>
      <c r="B452" s="218"/>
      <c r="C452" s="218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 ht="12.75" customHeight="1" x14ac:dyDescent="0.2">
      <c r="A453" s="81"/>
      <c r="B453" s="218"/>
      <c r="C453" s="218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 ht="12.75" customHeight="1" x14ac:dyDescent="0.2">
      <c r="A454" s="81"/>
      <c r="B454" s="218"/>
      <c r="C454" s="218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 ht="12.75" customHeight="1" x14ac:dyDescent="0.2">
      <c r="A455" s="81"/>
      <c r="B455" s="218"/>
      <c r="C455" s="218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 ht="12.75" customHeight="1" x14ac:dyDescent="0.2">
      <c r="A456" s="81"/>
      <c r="B456" s="218"/>
      <c r="C456" s="218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 ht="12.75" customHeight="1" x14ac:dyDescent="0.2">
      <c r="A457" s="81"/>
      <c r="B457" s="218"/>
      <c r="C457" s="218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 ht="12.75" customHeight="1" x14ac:dyDescent="0.2">
      <c r="A458" s="81"/>
      <c r="B458" s="218"/>
      <c r="C458" s="218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 ht="12.75" customHeight="1" x14ac:dyDescent="0.2">
      <c r="A459" s="81"/>
      <c r="B459" s="218"/>
      <c r="C459" s="218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 ht="12.75" customHeight="1" x14ac:dyDescent="0.2">
      <c r="A460" s="81"/>
      <c r="B460" s="218"/>
      <c r="C460" s="218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 ht="12.75" customHeight="1" x14ac:dyDescent="0.2">
      <c r="A461" s="81"/>
      <c r="B461" s="218"/>
      <c r="C461" s="218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 ht="12.75" customHeight="1" x14ac:dyDescent="0.2">
      <c r="A462" s="81"/>
      <c r="B462" s="218"/>
      <c r="C462" s="218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 ht="12.75" customHeight="1" x14ac:dyDescent="0.2">
      <c r="A463" s="81"/>
      <c r="B463" s="218"/>
      <c r="C463" s="218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 ht="12.75" customHeight="1" x14ac:dyDescent="0.2">
      <c r="A464" s="81"/>
      <c r="B464" s="218"/>
      <c r="C464" s="218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 ht="12.75" customHeight="1" x14ac:dyDescent="0.2">
      <c r="A465" s="81"/>
      <c r="B465" s="218"/>
      <c r="C465" s="218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 ht="12.75" customHeight="1" x14ac:dyDescent="0.2">
      <c r="A466" s="81"/>
      <c r="B466" s="218"/>
      <c r="C466" s="218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 ht="12.75" customHeight="1" x14ac:dyDescent="0.2">
      <c r="A467" s="81"/>
      <c r="B467" s="218"/>
      <c r="C467" s="218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 ht="12.75" customHeight="1" x14ac:dyDescent="0.2">
      <c r="A468" s="81"/>
      <c r="B468" s="218"/>
      <c r="C468" s="218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 ht="12.75" customHeight="1" x14ac:dyDescent="0.2">
      <c r="A469" s="81"/>
      <c r="B469" s="218"/>
      <c r="C469" s="218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 ht="12.75" customHeight="1" x14ac:dyDescent="0.2">
      <c r="A470" s="81"/>
      <c r="B470" s="218"/>
      <c r="C470" s="218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 ht="12.75" customHeight="1" x14ac:dyDescent="0.2">
      <c r="A471" s="81"/>
      <c r="B471" s="218"/>
      <c r="C471" s="218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 ht="12.75" customHeight="1" x14ac:dyDescent="0.2">
      <c r="A472" s="81"/>
      <c r="B472" s="218"/>
      <c r="C472" s="218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 ht="12.75" customHeight="1" x14ac:dyDescent="0.2">
      <c r="A473" s="81"/>
      <c r="B473" s="218"/>
      <c r="C473" s="218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 ht="12.75" customHeight="1" x14ac:dyDescent="0.2">
      <c r="A474" s="81"/>
      <c r="B474" s="218"/>
      <c r="C474" s="218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 ht="12.75" customHeight="1" x14ac:dyDescent="0.2">
      <c r="A475" s="81"/>
      <c r="B475" s="218"/>
      <c r="C475" s="218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 ht="12.75" customHeight="1" x14ac:dyDescent="0.2">
      <c r="A476" s="81"/>
      <c r="B476" s="218"/>
      <c r="C476" s="218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 ht="12.75" customHeight="1" x14ac:dyDescent="0.2">
      <c r="A477" s="81"/>
      <c r="B477" s="218"/>
      <c r="C477" s="218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 ht="12.75" customHeight="1" x14ac:dyDescent="0.2">
      <c r="A478" s="81"/>
      <c r="B478" s="218"/>
      <c r="C478" s="218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 ht="12.75" customHeight="1" x14ac:dyDescent="0.2">
      <c r="A479" s="81"/>
      <c r="B479" s="218"/>
      <c r="C479" s="218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 ht="12.75" customHeight="1" x14ac:dyDescent="0.2">
      <c r="A480" s="81"/>
      <c r="B480" s="218"/>
      <c r="C480" s="218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 ht="12.75" customHeight="1" x14ac:dyDescent="0.2">
      <c r="A481" s="81"/>
      <c r="B481" s="218"/>
      <c r="C481" s="218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 ht="12.75" customHeight="1" x14ac:dyDescent="0.2">
      <c r="A482" s="81"/>
      <c r="B482" s="218"/>
      <c r="C482" s="218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 ht="12.75" customHeight="1" x14ac:dyDescent="0.2">
      <c r="A483" s="81"/>
      <c r="B483" s="218"/>
      <c r="C483" s="218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 ht="12.75" customHeight="1" x14ac:dyDescent="0.2">
      <c r="A484" s="81"/>
      <c r="B484" s="218"/>
      <c r="C484" s="218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 ht="12.75" customHeight="1" x14ac:dyDescent="0.2">
      <c r="A485" s="81"/>
      <c r="B485" s="218"/>
      <c r="C485" s="218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 ht="12.75" customHeight="1" x14ac:dyDescent="0.2">
      <c r="A486" s="81"/>
      <c r="B486" s="218"/>
      <c r="C486" s="218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 ht="12.75" customHeight="1" x14ac:dyDescent="0.2">
      <c r="A487" s="81"/>
      <c r="B487" s="218"/>
      <c r="C487" s="218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 ht="12.75" customHeight="1" x14ac:dyDescent="0.2">
      <c r="A488" s="81"/>
      <c r="B488" s="218"/>
      <c r="C488" s="218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 ht="12.75" customHeight="1" x14ac:dyDescent="0.2">
      <c r="A489" s="81"/>
      <c r="B489" s="218"/>
      <c r="C489" s="218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 ht="12.75" customHeight="1" x14ac:dyDescent="0.2">
      <c r="A490" s="81"/>
      <c r="B490" s="218"/>
      <c r="C490" s="218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 ht="12.75" customHeight="1" x14ac:dyDescent="0.2">
      <c r="A491" s="81"/>
      <c r="B491" s="218"/>
      <c r="C491" s="218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 ht="12.75" customHeight="1" x14ac:dyDescent="0.2">
      <c r="A492" s="81"/>
      <c r="B492" s="218"/>
      <c r="C492" s="218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 ht="12.75" customHeight="1" x14ac:dyDescent="0.2">
      <c r="A493" s="81"/>
      <c r="B493" s="218"/>
      <c r="C493" s="218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 ht="12.75" customHeight="1" x14ac:dyDescent="0.2">
      <c r="A494" s="81"/>
      <c r="B494" s="218"/>
      <c r="C494" s="218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 ht="12.75" customHeight="1" x14ac:dyDescent="0.2">
      <c r="A495" s="81"/>
      <c r="B495" s="218"/>
      <c r="C495" s="218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 ht="12.75" customHeight="1" x14ac:dyDescent="0.2">
      <c r="A496" s="81"/>
      <c r="B496" s="218"/>
      <c r="C496" s="218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 ht="12.75" customHeight="1" x14ac:dyDescent="0.2">
      <c r="A497" s="81"/>
      <c r="B497" s="218"/>
      <c r="C497" s="218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 ht="12.75" customHeight="1" x14ac:dyDescent="0.2">
      <c r="A498" s="81"/>
      <c r="B498" s="218"/>
      <c r="C498" s="218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 ht="12.75" customHeight="1" x14ac:dyDescent="0.2">
      <c r="A499" s="81"/>
      <c r="B499" s="218"/>
      <c r="C499" s="218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 ht="12.75" customHeight="1" x14ac:dyDescent="0.2">
      <c r="A500" s="81"/>
      <c r="B500" s="218"/>
      <c r="C500" s="218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 ht="12.75" customHeight="1" x14ac:dyDescent="0.2">
      <c r="A501" s="81"/>
      <c r="B501" s="218"/>
      <c r="C501" s="218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 ht="12.75" customHeight="1" x14ac:dyDescent="0.2">
      <c r="A502" s="81"/>
      <c r="B502" s="218"/>
      <c r="C502" s="218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 ht="12.75" customHeight="1" x14ac:dyDescent="0.2">
      <c r="A503" s="81"/>
      <c r="B503" s="218"/>
      <c r="C503" s="218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 ht="12.75" customHeight="1" x14ac:dyDescent="0.2">
      <c r="A504" s="81"/>
      <c r="B504" s="218"/>
      <c r="C504" s="218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 ht="12.75" customHeight="1" x14ac:dyDescent="0.2">
      <c r="A505" s="81"/>
      <c r="B505" s="218"/>
      <c r="C505" s="218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 ht="12.75" customHeight="1" x14ac:dyDescent="0.2">
      <c r="A506" s="81"/>
      <c r="B506" s="218"/>
      <c r="C506" s="218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 ht="12.75" customHeight="1" x14ac:dyDescent="0.2">
      <c r="A507" s="81"/>
      <c r="B507" s="218"/>
      <c r="C507" s="218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 ht="12.75" customHeight="1" x14ac:dyDescent="0.2">
      <c r="A508" s="81"/>
      <c r="B508" s="218"/>
      <c r="C508" s="218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 ht="12.75" customHeight="1" x14ac:dyDescent="0.2">
      <c r="A509" s="81"/>
      <c r="B509" s="218"/>
      <c r="C509" s="218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 ht="12.75" customHeight="1" x14ac:dyDescent="0.2">
      <c r="A510" s="81"/>
      <c r="B510" s="218"/>
      <c r="C510" s="218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 ht="12.75" customHeight="1" x14ac:dyDescent="0.2">
      <c r="A511" s="81"/>
      <c r="B511" s="218"/>
      <c r="C511" s="218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 ht="12.75" customHeight="1" x14ac:dyDescent="0.2">
      <c r="A512" s="81"/>
      <c r="B512" s="218"/>
      <c r="C512" s="218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 ht="12.75" customHeight="1" x14ac:dyDescent="0.2">
      <c r="A513" s="81"/>
      <c r="B513" s="218"/>
      <c r="C513" s="218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 ht="12.75" customHeight="1" x14ac:dyDescent="0.2">
      <c r="A514" s="81"/>
      <c r="B514" s="218"/>
      <c r="C514" s="218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 ht="12.75" customHeight="1" x14ac:dyDescent="0.2">
      <c r="A515" s="81"/>
      <c r="B515" s="218"/>
      <c r="C515" s="218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 ht="12.75" customHeight="1" x14ac:dyDescent="0.2">
      <c r="A516" s="81"/>
      <c r="B516" s="218"/>
      <c r="C516" s="218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 ht="12.75" customHeight="1" x14ac:dyDescent="0.2">
      <c r="A517" s="81"/>
      <c r="B517" s="218"/>
      <c r="C517" s="218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 ht="12.75" customHeight="1" x14ac:dyDescent="0.2">
      <c r="A518" s="81"/>
      <c r="B518" s="218"/>
      <c r="C518" s="218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 ht="12.75" customHeight="1" x14ac:dyDescent="0.2">
      <c r="A519" s="81"/>
      <c r="B519" s="218"/>
      <c r="C519" s="218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 ht="12.75" customHeight="1" x14ac:dyDescent="0.2">
      <c r="A520" s="81"/>
      <c r="B520" s="218"/>
      <c r="C520" s="218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 ht="12.75" customHeight="1" x14ac:dyDescent="0.2">
      <c r="A521" s="81"/>
      <c r="B521" s="218"/>
      <c r="C521" s="218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 ht="12.75" customHeight="1" x14ac:dyDescent="0.2">
      <c r="A522" s="81"/>
      <c r="B522" s="218"/>
      <c r="C522" s="218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 ht="12.75" customHeight="1" x14ac:dyDescent="0.2">
      <c r="A523" s="81"/>
      <c r="B523" s="218"/>
      <c r="C523" s="218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 ht="12.75" customHeight="1" x14ac:dyDescent="0.2">
      <c r="A524" s="81"/>
      <c r="B524" s="218"/>
      <c r="C524" s="218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 ht="12.75" customHeight="1" x14ac:dyDescent="0.2">
      <c r="A525" s="81"/>
      <c r="B525" s="218"/>
      <c r="C525" s="218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 ht="12.75" customHeight="1" x14ac:dyDescent="0.2">
      <c r="A526" s="81"/>
      <c r="B526" s="218"/>
      <c r="C526" s="218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 ht="12.75" customHeight="1" x14ac:dyDescent="0.2">
      <c r="A527" s="81"/>
      <c r="B527" s="218"/>
      <c r="C527" s="218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 ht="12.75" customHeight="1" x14ac:dyDescent="0.2">
      <c r="A528" s="81"/>
      <c r="B528" s="218"/>
      <c r="C528" s="218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 ht="12.75" customHeight="1" x14ac:dyDescent="0.2">
      <c r="A529" s="81"/>
      <c r="B529" s="218"/>
      <c r="C529" s="218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 ht="12.75" customHeight="1" x14ac:dyDescent="0.2">
      <c r="A530" s="81"/>
      <c r="B530" s="218"/>
      <c r="C530" s="218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 ht="12.75" customHeight="1" x14ac:dyDescent="0.2">
      <c r="A531" s="81"/>
      <c r="B531" s="218"/>
      <c r="C531" s="218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 ht="12.75" customHeight="1" x14ac:dyDescent="0.2">
      <c r="A532" s="81"/>
      <c r="B532" s="218"/>
      <c r="C532" s="218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 ht="12.75" customHeight="1" x14ac:dyDescent="0.2">
      <c r="A533" s="81"/>
      <c r="B533" s="218"/>
      <c r="C533" s="218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 ht="12.75" customHeight="1" x14ac:dyDescent="0.2">
      <c r="A534" s="81"/>
      <c r="B534" s="218"/>
      <c r="C534" s="218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 ht="12.75" customHeight="1" x14ac:dyDescent="0.2">
      <c r="A535" s="81"/>
      <c r="B535" s="218"/>
      <c r="C535" s="218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 ht="12.75" customHeight="1" x14ac:dyDescent="0.2">
      <c r="A536" s="81"/>
      <c r="B536" s="218"/>
      <c r="C536" s="218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 ht="12.75" customHeight="1" x14ac:dyDescent="0.2">
      <c r="A537" s="81"/>
      <c r="B537" s="218"/>
      <c r="C537" s="218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 ht="12.75" customHeight="1" x14ac:dyDescent="0.2">
      <c r="A538" s="81"/>
      <c r="B538" s="218"/>
      <c r="C538" s="218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 ht="12.75" customHeight="1" x14ac:dyDescent="0.2">
      <c r="A539" s="81"/>
      <c r="B539" s="218"/>
      <c r="C539" s="218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 ht="12.75" customHeight="1" x14ac:dyDescent="0.2">
      <c r="A540" s="81"/>
      <c r="B540" s="218"/>
      <c r="C540" s="218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 ht="12.75" customHeight="1" x14ac:dyDescent="0.2">
      <c r="A541" s="81"/>
      <c r="B541" s="218"/>
      <c r="C541" s="218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 ht="12.75" customHeight="1" x14ac:dyDescent="0.2">
      <c r="A542" s="81"/>
      <c r="B542" s="218"/>
      <c r="C542" s="218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 ht="12.75" customHeight="1" x14ac:dyDescent="0.2">
      <c r="A543" s="81"/>
      <c r="B543" s="218"/>
      <c r="C543" s="218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 ht="12.75" customHeight="1" x14ac:dyDescent="0.2">
      <c r="A544" s="81"/>
      <c r="B544" s="218"/>
      <c r="C544" s="218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 ht="12.75" customHeight="1" x14ac:dyDescent="0.2">
      <c r="A545" s="81"/>
      <c r="B545" s="218"/>
      <c r="C545" s="218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 ht="12.75" customHeight="1" x14ac:dyDescent="0.2">
      <c r="A546" s="81"/>
      <c r="B546" s="218"/>
      <c r="C546" s="218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 ht="12.75" customHeight="1" x14ac:dyDescent="0.2">
      <c r="A547" s="81"/>
      <c r="B547" s="218"/>
      <c r="C547" s="218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 ht="12.75" customHeight="1" x14ac:dyDescent="0.2">
      <c r="A548" s="81"/>
      <c r="B548" s="218"/>
      <c r="C548" s="218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 ht="12.75" customHeight="1" x14ac:dyDescent="0.2">
      <c r="A549" s="81"/>
      <c r="B549" s="218"/>
      <c r="C549" s="218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 ht="12.75" customHeight="1" x14ac:dyDescent="0.2">
      <c r="A550" s="81"/>
      <c r="B550" s="218"/>
      <c r="C550" s="218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 ht="12.75" customHeight="1" x14ac:dyDescent="0.2">
      <c r="A551" s="81"/>
      <c r="B551" s="218"/>
      <c r="C551" s="218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 ht="12.75" customHeight="1" x14ac:dyDescent="0.2">
      <c r="A552" s="81"/>
      <c r="B552" s="218"/>
      <c r="C552" s="218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 ht="12.75" customHeight="1" x14ac:dyDescent="0.2">
      <c r="A553" s="81"/>
      <c r="B553" s="218"/>
      <c r="C553" s="218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 ht="12.75" customHeight="1" x14ac:dyDescent="0.2">
      <c r="A554" s="81"/>
      <c r="B554" s="218"/>
      <c r="C554" s="218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 ht="12.75" customHeight="1" x14ac:dyDescent="0.2">
      <c r="A555" s="81"/>
      <c r="B555" s="218"/>
      <c r="C555" s="218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 ht="12.75" customHeight="1" x14ac:dyDescent="0.2">
      <c r="A556" s="81"/>
      <c r="B556" s="218"/>
      <c r="C556" s="218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 ht="12.75" customHeight="1" x14ac:dyDescent="0.2">
      <c r="A557" s="81"/>
      <c r="B557" s="218"/>
      <c r="C557" s="218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 ht="12.75" customHeight="1" x14ac:dyDescent="0.2">
      <c r="A558" s="81"/>
      <c r="B558" s="218"/>
      <c r="C558" s="218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 ht="12.75" customHeight="1" x14ac:dyDescent="0.2">
      <c r="A559" s="81"/>
      <c r="B559" s="218"/>
      <c r="C559" s="218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 ht="12.75" customHeight="1" x14ac:dyDescent="0.2">
      <c r="A560" s="81"/>
      <c r="B560" s="218"/>
      <c r="C560" s="218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 ht="12.75" customHeight="1" x14ac:dyDescent="0.2">
      <c r="A561" s="81"/>
      <c r="B561" s="218"/>
      <c r="C561" s="218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 ht="12.75" customHeight="1" x14ac:dyDescent="0.2">
      <c r="A562" s="81"/>
      <c r="B562" s="218"/>
      <c r="C562" s="218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 ht="12.75" customHeight="1" x14ac:dyDescent="0.2">
      <c r="A563" s="81"/>
      <c r="B563" s="218"/>
      <c r="C563" s="218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 ht="12.75" customHeight="1" x14ac:dyDescent="0.2">
      <c r="A564" s="81"/>
      <c r="B564" s="218"/>
      <c r="C564" s="218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 ht="12.75" customHeight="1" x14ac:dyDescent="0.2">
      <c r="A565" s="81"/>
      <c r="B565" s="218"/>
      <c r="C565" s="218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 ht="12.75" customHeight="1" x14ac:dyDescent="0.2">
      <c r="A566" s="81"/>
      <c r="B566" s="218"/>
      <c r="C566" s="218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 ht="12.75" customHeight="1" x14ac:dyDescent="0.2">
      <c r="A567" s="81"/>
      <c r="B567" s="218"/>
      <c r="C567" s="218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 ht="12.75" customHeight="1" x14ac:dyDescent="0.2">
      <c r="A568" s="81"/>
      <c r="B568" s="218"/>
      <c r="C568" s="218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 ht="12.75" customHeight="1" x14ac:dyDescent="0.2">
      <c r="A569" s="81"/>
      <c r="B569" s="218"/>
      <c r="C569" s="218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 ht="12.75" customHeight="1" x14ac:dyDescent="0.2">
      <c r="A570" s="81"/>
      <c r="B570" s="218"/>
      <c r="C570" s="218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 ht="12.75" customHeight="1" x14ac:dyDescent="0.2">
      <c r="A571" s="81"/>
      <c r="B571" s="218"/>
      <c r="C571" s="218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 ht="12.75" customHeight="1" x14ac:dyDescent="0.2">
      <c r="A572" s="81"/>
      <c r="B572" s="218"/>
      <c r="C572" s="218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 ht="12.75" customHeight="1" x14ac:dyDescent="0.2">
      <c r="A573" s="81"/>
      <c r="B573" s="218"/>
      <c r="C573" s="218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 ht="12.75" customHeight="1" x14ac:dyDescent="0.2">
      <c r="A574" s="81"/>
      <c r="B574" s="218"/>
      <c r="C574" s="218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 ht="12.75" customHeight="1" x14ac:dyDescent="0.2">
      <c r="A575" s="81"/>
      <c r="B575" s="218"/>
      <c r="C575" s="218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 ht="12.75" customHeight="1" x14ac:dyDescent="0.2">
      <c r="A576" s="81"/>
      <c r="B576" s="218"/>
      <c r="C576" s="218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 ht="12.75" customHeight="1" x14ac:dyDescent="0.2">
      <c r="A577" s="81"/>
      <c r="B577" s="218"/>
      <c r="C577" s="218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 ht="12.75" customHeight="1" x14ac:dyDescent="0.2">
      <c r="A578" s="81"/>
      <c r="B578" s="218"/>
      <c r="C578" s="218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 ht="12.75" customHeight="1" x14ac:dyDescent="0.2">
      <c r="A579" s="81"/>
      <c r="B579" s="218"/>
      <c r="C579" s="218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 ht="12.75" customHeight="1" x14ac:dyDescent="0.2">
      <c r="A580" s="81"/>
      <c r="B580" s="218"/>
      <c r="C580" s="218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 ht="12.75" customHeight="1" x14ac:dyDescent="0.2">
      <c r="A581" s="81"/>
      <c r="B581" s="218"/>
      <c r="C581" s="218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 ht="12.75" customHeight="1" x14ac:dyDescent="0.2">
      <c r="A582" s="81"/>
      <c r="B582" s="218"/>
      <c r="C582" s="218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 ht="12.75" customHeight="1" x14ac:dyDescent="0.2">
      <c r="A583" s="81"/>
      <c r="B583" s="218"/>
      <c r="C583" s="218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 ht="12.75" customHeight="1" x14ac:dyDescent="0.2">
      <c r="A584" s="81"/>
      <c r="B584" s="218"/>
      <c r="C584" s="218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 ht="12.75" customHeight="1" x14ac:dyDescent="0.2">
      <c r="A585" s="81"/>
      <c r="B585" s="218"/>
      <c r="C585" s="218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 ht="12.75" customHeight="1" x14ac:dyDescent="0.2">
      <c r="A586" s="81"/>
      <c r="B586" s="218"/>
      <c r="C586" s="218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 ht="12.75" customHeight="1" x14ac:dyDescent="0.2">
      <c r="A587" s="81"/>
      <c r="B587" s="218"/>
      <c r="C587" s="218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 ht="12.75" customHeight="1" x14ac:dyDescent="0.2">
      <c r="A588" s="81"/>
      <c r="B588" s="218"/>
      <c r="C588" s="218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 ht="12.75" customHeight="1" x14ac:dyDescent="0.2">
      <c r="A589" s="81"/>
      <c r="B589" s="218"/>
      <c r="C589" s="218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 ht="12.75" customHeight="1" x14ac:dyDescent="0.2">
      <c r="A590" s="81"/>
      <c r="B590" s="218"/>
      <c r="C590" s="218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 ht="12.75" customHeight="1" x14ac:dyDescent="0.2">
      <c r="A591" s="81"/>
      <c r="B591" s="218"/>
      <c r="C591" s="218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 ht="12.75" customHeight="1" x14ac:dyDescent="0.2">
      <c r="A592" s="81"/>
      <c r="B592" s="218"/>
      <c r="C592" s="218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 ht="12.75" customHeight="1" x14ac:dyDescent="0.2">
      <c r="A593" s="81"/>
      <c r="B593" s="218"/>
      <c r="C593" s="218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 ht="12.75" customHeight="1" x14ac:dyDescent="0.2">
      <c r="A594" s="81"/>
      <c r="B594" s="218"/>
      <c r="C594" s="218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 ht="12.75" customHeight="1" x14ac:dyDescent="0.2">
      <c r="A595" s="81"/>
      <c r="B595" s="218"/>
      <c r="C595" s="218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 ht="12.75" customHeight="1" x14ac:dyDescent="0.2">
      <c r="A596" s="81"/>
      <c r="B596" s="218"/>
      <c r="C596" s="218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 ht="12.75" customHeight="1" x14ac:dyDescent="0.2">
      <c r="A597" s="81"/>
      <c r="B597" s="218"/>
      <c r="C597" s="218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 ht="12.75" customHeight="1" x14ac:dyDescent="0.2">
      <c r="A598" s="81"/>
      <c r="B598" s="218"/>
      <c r="C598" s="218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 ht="12.75" customHeight="1" x14ac:dyDescent="0.2">
      <c r="A599" s="81"/>
      <c r="B599" s="218"/>
      <c r="C599" s="218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 ht="12.75" customHeight="1" x14ac:dyDescent="0.2">
      <c r="A600" s="81"/>
      <c r="B600" s="218"/>
      <c r="C600" s="218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 ht="12.75" customHeight="1" x14ac:dyDescent="0.2">
      <c r="A601" s="81"/>
      <c r="B601" s="218"/>
      <c r="C601" s="218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12.75" customHeight="1" x14ac:dyDescent="0.2">
      <c r="A602" s="81"/>
      <c r="B602" s="218"/>
      <c r="C602" s="218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12.75" customHeight="1" x14ac:dyDescent="0.2">
      <c r="A603" s="81"/>
      <c r="B603" s="218"/>
      <c r="C603" s="218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12.75" customHeight="1" x14ac:dyDescent="0.2">
      <c r="A604" s="81"/>
      <c r="B604" s="218"/>
      <c r="C604" s="218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 ht="12.75" customHeight="1" x14ac:dyDescent="0.2">
      <c r="A605" s="81"/>
      <c r="B605" s="218"/>
      <c r="C605" s="218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 ht="12.75" customHeight="1" x14ac:dyDescent="0.2">
      <c r="A606" s="81"/>
      <c r="B606" s="218"/>
      <c r="C606" s="218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 ht="12.75" customHeight="1" x14ac:dyDescent="0.2">
      <c r="A607" s="81"/>
      <c r="B607" s="218"/>
      <c r="C607" s="218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 ht="12.75" customHeight="1" x14ac:dyDescent="0.2">
      <c r="A608" s="81"/>
      <c r="B608" s="218"/>
      <c r="C608" s="218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 ht="12.75" customHeight="1" x14ac:dyDescent="0.2">
      <c r="A609" s="81"/>
      <c r="B609" s="218"/>
      <c r="C609" s="218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 ht="12.75" customHeight="1" x14ac:dyDescent="0.2">
      <c r="A610" s="81"/>
      <c r="B610" s="218"/>
      <c r="C610" s="218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 ht="12.75" customHeight="1" x14ac:dyDescent="0.2">
      <c r="A611" s="81"/>
      <c r="B611" s="218"/>
      <c r="C611" s="218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 ht="12.75" customHeight="1" x14ac:dyDescent="0.2">
      <c r="A612" s="81"/>
      <c r="B612" s="218"/>
      <c r="C612" s="218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 ht="12.75" customHeight="1" x14ac:dyDescent="0.2">
      <c r="A613" s="81"/>
      <c r="B613" s="218"/>
      <c r="C613" s="218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 ht="12.75" customHeight="1" x14ac:dyDescent="0.2">
      <c r="A614" s="81"/>
      <c r="B614" s="218"/>
      <c r="C614" s="218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 ht="12.75" customHeight="1" x14ac:dyDescent="0.2">
      <c r="A615" s="81"/>
      <c r="B615" s="218"/>
      <c r="C615" s="218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 ht="12.75" customHeight="1" x14ac:dyDescent="0.2">
      <c r="A616" s="81"/>
      <c r="B616" s="218"/>
      <c r="C616" s="218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 ht="12.75" customHeight="1" x14ac:dyDescent="0.2">
      <c r="A617" s="81"/>
      <c r="B617" s="218"/>
      <c r="C617" s="218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 ht="12.75" customHeight="1" x14ac:dyDescent="0.2">
      <c r="A618" s="81"/>
      <c r="B618" s="218"/>
      <c r="C618" s="218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 ht="12.75" customHeight="1" x14ac:dyDescent="0.2">
      <c r="A619" s="81"/>
      <c r="B619" s="218"/>
      <c r="C619" s="218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 ht="12.75" customHeight="1" x14ac:dyDescent="0.2">
      <c r="A620" s="81"/>
      <c r="B620" s="218"/>
      <c r="C620" s="218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 ht="12.75" customHeight="1" x14ac:dyDescent="0.2">
      <c r="A621" s="81"/>
      <c r="B621" s="218"/>
      <c r="C621" s="218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 ht="12.75" customHeight="1" x14ac:dyDescent="0.2">
      <c r="A622" s="81"/>
      <c r="B622" s="218"/>
      <c r="C622" s="218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 ht="12.75" customHeight="1" x14ac:dyDescent="0.2">
      <c r="A623" s="81"/>
      <c r="B623" s="218"/>
      <c r="C623" s="218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 ht="12.75" customHeight="1" x14ac:dyDescent="0.2">
      <c r="A624" s="81"/>
      <c r="B624" s="218"/>
      <c r="C624" s="218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 ht="12.75" customHeight="1" x14ac:dyDescent="0.2">
      <c r="A625" s="81"/>
      <c r="B625" s="218"/>
      <c r="C625" s="218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 ht="12.75" customHeight="1" x14ac:dyDescent="0.2">
      <c r="A626" s="81"/>
      <c r="B626" s="218"/>
      <c r="C626" s="218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 ht="12.75" customHeight="1" x14ac:dyDescent="0.2">
      <c r="A627" s="81"/>
      <c r="B627" s="218"/>
      <c r="C627" s="218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 ht="12.75" customHeight="1" x14ac:dyDescent="0.2">
      <c r="A628" s="81"/>
      <c r="B628" s="218"/>
      <c r="C628" s="218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 ht="12.75" customHeight="1" x14ac:dyDescent="0.2">
      <c r="A629" s="81"/>
      <c r="B629" s="218"/>
      <c r="C629" s="218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 ht="12.75" customHeight="1" x14ac:dyDescent="0.2">
      <c r="A630" s="81"/>
      <c r="B630" s="218"/>
      <c r="C630" s="218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 ht="12.75" customHeight="1" x14ac:dyDescent="0.2">
      <c r="A631" s="81"/>
      <c r="B631" s="218"/>
      <c r="C631" s="218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 ht="12.75" customHeight="1" x14ac:dyDescent="0.2">
      <c r="A632" s="81"/>
      <c r="B632" s="218"/>
      <c r="C632" s="218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 ht="12.75" customHeight="1" x14ac:dyDescent="0.2">
      <c r="A633" s="81"/>
      <c r="B633" s="218"/>
      <c r="C633" s="218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 ht="12.75" customHeight="1" x14ac:dyDescent="0.2">
      <c r="A634" s="81"/>
      <c r="B634" s="218"/>
      <c r="C634" s="218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 ht="12.75" customHeight="1" x14ac:dyDescent="0.2">
      <c r="A635" s="81"/>
      <c r="B635" s="218"/>
      <c r="C635" s="218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 ht="12.75" customHeight="1" x14ac:dyDescent="0.2">
      <c r="A636" s="81"/>
      <c r="B636" s="218"/>
      <c r="C636" s="218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 ht="12.75" customHeight="1" x14ac:dyDescent="0.2">
      <c r="A637" s="81"/>
      <c r="B637" s="218"/>
      <c r="C637" s="218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 ht="12.75" customHeight="1" x14ac:dyDescent="0.2">
      <c r="A638" s="81"/>
      <c r="B638" s="218"/>
      <c r="C638" s="218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 ht="12.75" customHeight="1" x14ac:dyDescent="0.2">
      <c r="A639" s="81"/>
      <c r="B639" s="218"/>
      <c r="C639" s="218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 ht="12.75" customHeight="1" x14ac:dyDescent="0.2">
      <c r="A640" s="81"/>
      <c r="B640" s="218"/>
      <c r="C640" s="218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 ht="12.75" customHeight="1" x14ac:dyDescent="0.2">
      <c r="A641" s="81"/>
      <c r="B641" s="218"/>
      <c r="C641" s="218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 ht="12.75" customHeight="1" x14ac:dyDescent="0.2">
      <c r="A642" s="81"/>
      <c r="B642" s="218"/>
      <c r="C642" s="218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 ht="12.75" customHeight="1" x14ac:dyDescent="0.2">
      <c r="A643" s="81"/>
      <c r="B643" s="218"/>
      <c r="C643" s="218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 ht="12.75" customHeight="1" x14ac:dyDescent="0.2">
      <c r="A644" s="81"/>
      <c r="B644" s="218"/>
      <c r="C644" s="218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 ht="12.75" customHeight="1" x14ac:dyDescent="0.2">
      <c r="A645" s="81"/>
      <c r="B645" s="218"/>
      <c r="C645" s="218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 ht="12.75" customHeight="1" x14ac:dyDescent="0.2">
      <c r="A646" s="81"/>
      <c r="B646" s="218"/>
      <c r="C646" s="218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 ht="12.75" customHeight="1" x14ac:dyDescent="0.2">
      <c r="A647" s="81"/>
      <c r="B647" s="218"/>
      <c r="C647" s="218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 ht="12.75" customHeight="1" x14ac:dyDescent="0.2">
      <c r="A648" s="81"/>
      <c r="B648" s="218"/>
      <c r="C648" s="218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 ht="12.75" customHeight="1" x14ac:dyDescent="0.2">
      <c r="A649" s="81"/>
      <c r="B649" s="218"/>
      <c r="C649" s="218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 ht="12.75" customHeight="1" x14ac:dyDescent="0.2">
      <c r="A650" s="81"/>
      <c r="B650" s="218"/>
      <c r="C650" s="218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 ht="12.75" customHeight="1" x14ac:dyDescent="0.2">
      <c r="A651" s="81"/>
      <c r="B651" s="218"/>
      <c r="C651" s="218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 ht="12.75" customHeight="1" x14ac:dyDescent="0.2">
      <c r="A652" s="81"/>
      <c r="B652" s="218"/>
      <c r="C652" s="218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 ht="12.75" customHeight="1" x14ac:dyDescent="0.2">
      <c r="A653" s="81"/>
      <c r="B653" s="218"/>
      <c r="C653" s="218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 ht="12.75" customHeight="1" x14ac:dyDescent="0.2">
      <c r="A654" s="81"/>
      <c r="B654" s="218"/>
      <c r="C654" s="218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 ht="12.75" customHeight="1" x14ac:dyDescent="0.2">
      <c r="A655" s="81"/>
      <c r="B655" s="218"/>
      <c r="C655" s="218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 ht="12.75" customHeight="1" x14ac:dyDescent="0.2">
      <c r="A656" s="81"/>
      <c r="B656" s="218"/>
      <c r="C656" s="218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 ht="12.75" customHeight="1" x14ac:dyDescent="0.2">
      <c r="A657" s="81"/>
      <c r="B657" s="218"/>
      <c r="C657" s="218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 ht="12.75" customHeight="1" x14ac:dyDescent="0.2">
      <c r="A658" s="81"/>
      <c r="B658" s="218"/>
      <c r="C658" s="218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 ht="12.75" customHeight="1" x14ac:dyDescent="0.2">
      <c r="A659" s="81"/>
      <c r="B659" s="218"/>
      <c r="C659" s="218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 ht="12.75" customHeight="1" x14ac:dyDescent="0.2">
      <c r="A660" s="81"/>
      <c r="B660" s="218"/>
      <c r="C660" s="218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 ht="12.75" customHeight="1" x14ac:dyDescent="0.2">
      <c r="A661" s="81"/>
      <c r="B661" s="218"/>
      <c r="C661" s="218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 ht="12.75" customHeight="1" x14ac:dyDescent="0.2">
      <c r="A662" s="81"/>
      <c r="B662" s="218"/>
      <c r="C662" s="218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 ht="12.75" customHeight="1" x14ac:dyDescent="0.2">
      <c r="A663" s="81"/>
      <c r="B663" s="218"/>
      <c r="C663" s="218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 ht="12.75" customHeight="1" x14ac:dyDescent="0.2">
      <c r="A664" s="81"/>
      <c r="B664" s="218"/>
      <c r="C664" s="218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 ht="12.75" customHeight="1" x14ac:dyDescent="0.2">
      <c r="A665" s="81"/>
      <c r="B665" s="218"/>
      <c r="C665" s="218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 ht="12.75" customHeight="1" x14ac:dyDescent="0.2">
      <c r="A666" s="81"/>
      <c r="B666" s="218"/>
      <c r="C666" s="218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 ht="12.75" customHeight="1" x14ac:dyDescent="0.2">
      <c r="A667" s="81"/>
      <c r="B667" s="218"/>
      <c r="C667" s="218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 ht="12.75" customHeight="1" x14ac:dyDescent="0.2">
      <c r="A668" s="81"/>
      <c r="B668" s="218"/>
      <c r="C668" s="218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 ht="12.75" customHeight="1" x14ac:dyDescent="0.2">
      <c r="A669" s="81"/>
      <c r="B669" s="218"/>
      <c r="C669" s="218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 ht="12.75" customHeight="1" x14ac:dyDescent="0.2">
      <c r="A670" s="81"/>
      <c r="B670" s="218"/>
      <c r="C670" s="218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 ht="12.75" customHeight="1" x14ac:dyDescent="0.2">
      <c r="A671" s="81"/>
      <c r="B671" s="218"/>
      <c r="C671" s="218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 ht="12.75" customHeight="1" x14ac:dyDescent="0.2">
      <c r="A672" s="81"/>
      <c r="B672" s="218"/>
      <c r="C672" s="218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 ht="12.75" customHeight="1" x14ac:dyDescent="0.2">
      <c r="A673" s="81"/>
      <c r="B673" s="218"/>
      <c r="C673" s="218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 ht="12.75" customHeight="1" x14ac:dyDescent="0.2">
      <c r="A674" s="81"/>
      <c r="B674" s="218"/>
      <c r="C674" s="218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 ht="12.75" customHeight="1" x14ac:dyDescent="0.2">
      <c r="A675" s="81"/>
      <c r="B675" s="218"/>
      <c r="C675" s="218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 ht="12.75" customHeight="1" x14ac:dyDescent="0.2">
      <c r="A676" s="81"/>
      <c r="B676" s="218"/>
      <c r="C676" s="218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 ht="12.75" customHeight="1" x14ac:dyDescent="0.2">
      <c r="A677" s="81"/>
      <c r="B677" s="218"/>
      <c r="C677" s="218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 ht="12.75" customHeight="1" x14ac:dyDescent="0.2">
      <c r="A678" s="81"/>
      <c r="B678" s="218"/>
      <c r="C678" s="218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 ht="12.75" customHeight="1" x14ac:dyDescent="0.2">
      <c r="A679" s="81"/>
      <c r="B679" s="218"/>
      <c r="C679" s="218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 ht="12.75" customHeight="1" x14ac:dyDescent="0.2">
      <c r="A680" s="81"/>
      <c r="B680" s="218"/>
      <c r="C680" s="218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 ht="12.75" customHeight="1" x14ac:dyDescent="0.2">
      <c r="A681" s="81"/>
      <c r="B681" s="218"/>
      <c r="C681" s="218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 ht="12.75" customHeight="1" x14ac:dyDescent="0.2">
      <c r="A682" s="81"/>
      <c r="B682" s="218"/>
      <c r="C682" s="218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 ht="12.75" customHeight="1" x14ac:dyDescent="0.2">
      <c r="A683" s="81"/>
      <c r="B683" s="218"/>
      <c r="C683" s="218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 ht="12.75" customHeight="1" x14ac:dyDescent="0.2">
      <c r="A684" s="81"/>
      <c r="B684" s="218"/>
      <c r="C684" s="218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 ht="12.75" customHeight="1" x14ac:dyDescent="0.2">
      <c r="A685" s="81"/>
      <c r="B685" s="218"/>
      <c r="C685" s="218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 ht="12.75" customHeight="1" x14ac:dyDescent="0.2">
      <c r="A686" s="81"/>
      <c r="B686" s="218"/>
      <c r="C686" s="218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 ht="12.75" customHeight="1" x14ac:dyDescent="0.2">
      <c r="A687" s="81"/>
      <c r="B687" s="218"/>
      <c r="C687" s="218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 ht="12.75" customHeight="1" x14ac:dyDescent="0.2">
      <c r="A688" s="81"/>
      <c r="B688" s="218"/>
      <c r="C688" s="218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 ht="12.75" customHeight="1" x14ac:dyDescent="0.2">
      <c r="A689" s="81"/>
      <c r="B689" s="218"/>
      <c r="C689" s="218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 ht="12.75" customHeight="1" x14ac:dyDescent="0.2">
      <c r="A690" s="81"/>
      <c r="B690" s="218"/>
      <c r="C690" s="218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 ht="12.75" customHeight="1" x14ac:dyDescent="0.2">
      <c r="A691" s="81"/>
      <c r="B691" s="218"/>
      <c r="C691" s="218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 ht="12.75" customHeight="1" x14ac:dyDescent="0.2">
      <c r="A692" s="81"/>
      <c r="B692" s="218"/>
      <c r="C692" s="218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 ht="12.75" customHeight="1" x14ac:dyDescent="0.2">
      <c r="A693" s="81"/>
      <c r="B693" s="218"/>
      <c r="C693" s="218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 ht="12.75" customHeight="1" x14ac:dyDescent="0.2">
      <c r="A694" s="81"/>
      <c r="B694" s="218"/>
      <c r="C694" s="218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 ht="12.75" customHeight="1" x14ac:dyDescent="0.2">
      <c r="A695" s="81"/>
      <c r="B695" s="218"/>
      <c r="C695" s="218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 ht="12.75" customHeight="1" x14ac:dyDescent="0.2">
      <c r="A696" s="81"/>
      <c r="B696" s="218"/>
      <c r="C696" s="218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 ht="12.75" customHeight="1" x14ac:dyDescent="0.2">
      <c r="A697" s="81"/>
      <c r="B697" s="218"/>
      <c r="C697" s="218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 ht="12.75" customHeight="1" x14ac:dyDescent="0.2">
      <c r="A698" s="81"/>
      <c r="B698" s="218"/>
      <c r="C698" s="218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 ht="12.75" customHeight="1" x14ac:dyDescent="0.2">
      <c r="A699" s="81"/>
      <c r="B699" s="218"/>
      <c r="C699" s="218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 ht="12.75" customHeight="1" x14ac:dyDescent="0.2">
      <c r="A700" s="81"/>
      <c r="B700" s="218"/>
      <c r="C700" s="218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 ht="12.75" customHeight="1" x14ac:dyDescent="0.2">
      <c r="A701" s="81"/>
      <c r="B701" s="218"/>
      <c r="C701" s="218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 ht="12.75" customHeight="1" x14ac:dyDescent="0.2">
      <c r="A702" s="81"/>
      <c r="B702" s="218"/>
      <c r="C702" s="218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 ht="12.75" customHeight="1" x14ac:dyDescent="0.2">
      <c r="A703" s="81"/>
      <c r="B703" s="218"/>
      <c r="C703" s="218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 ht="12.75" customHeight="1" x14ac:dyDescent="0.2">
      <c r="A704" s="81"/>
      <c r="B704" s="218"/>
      <c r="C704" s="218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 ht="12.75" customHeight="1" x14ac:dyDescent="0.2">
      <c r="A705" s="81"/>
      <c r="B705" s="218"/>
      <c r="C705" s="218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 ht="12.75" customHeight="1" x14ac:dyDescent="0.2">
      <c r="A706" s="81"/>
      <c r="B706" s="218"/>
      <c r="C706" s="218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 ht="12.75" customHeight="1" x14ac:dyDescent="0.2">
      <c r="A707" s="81"/>
      <c r="B707" s="218"/>
      <c r="C707" s="218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 ht="12.75" customHeight="1" x14ac:dyDescent="0.2">
      <c r="A708" s="81"/>
      <c r="B708" s="218"/>
      <c r="C708" s="218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 ht="12.75" customHeight="1" x14ac:dyDescent="0.2">
      <c r="A709" s="81"/>
      <c r="B709" s="218"/>
      <c r="C709" s="218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 ht="12.75" customHeight="1" x14ac:dyDescent="0.2">
      <c r="A710" s="81"/>
      <c r="B710" s="218"/>
      <c r="C710" s="218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 ht="12.75" customHeight="1" x14ac:dyDescent="0.2">
      <c r="A711" s="81"/>
      <c r="B711" s="218"/>
      <c r="C711" s="218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 ht="12.75" customHeight="1" x14ac:dyDescent="0.2">
      <c r="A712" s="81"/>
      <c r="B712" s="218"/>
      <c r="C712" s="218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 ht="12.75" customHeight="1" x14ac:dyDescent="0.2">
      <c r="A713" s="81"/>
      <c r="B713" s="218"/>
      <c r="C713" s="218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 ht="12.75" customHeight="1" x14ac:dyDescent="0.2">
      <c r="A714" s="81"/>
      <c r="B714" s="218"/>
      <c r="C714" s="218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 ht="12.75" customHeight="1" x14ac:dyDescent="0.2">
      <c r="A715" s="81"/>
      <c r="B715" s="218"/>
      <c r="C715" s="218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 ht="12.75" customHeight="1" x14ac:dyDescent="0.2">
      <c r="A716" s="81"/>
      <c r="B716" s="218"/>
      <c r="C716" s="218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 ht="12.75" customHeight="1" x14ac:dyDescent="0.2">
      <c r="A717" s="81"/>
      <c r="B717" s="218"/>
      <c r="C717" s="218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 ht="12.75" customHeight="1" x14ac:dyDescent="0.2">
      <c r="A718" s="81"/>
      <c r="B718" s="218"/>
      <c r="C718" s="218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 ht="12.75" customHeight="1" x14ac:dyDescent="0.2">
      <c r="A719" s="81"/>
      <c r="B719" s="218"/>
      <c r="C719" s="218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 ht="12.75" customHeight="1" x14ac:dyDescent="0.2">
      <c r="A720" s="81"/>
      <c r="B720" s="218"/>
      <c r="C720" s="218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 ht="12.75" customHeight="1" x14ac:dyDescent="0.2">
      <c r="A721" s="81"/>
      <c r="B721" s="218"/>
      <c r="C721" s="218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 ht="12.75" customHeight="1" x14ac:dyDescent="0.2">
      <c r="A722" s="81"/>
      <c r="B722" s="218"/>
      <c r="C722" s="218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 ht="12.75" customHeight="1" x14ac:dyDescent="0.2">
      <c r="A723" s="81"/>
      <c r="B723" s="218"/>
      <c r="C723" s="218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 ht="12.75" customHeight="1" x14ac:dyDescent="0.2">
      <c r="A724" s="81"/>
      <c r="B724" s="218"/>
      <c r="C724" s="218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 ht="12.75" customHeight="1" x14ac:dyDescent="0.2">
      <c r="A725" s="81"/>
      <c r="B725" s="218"/>
      <c r="C725" s="218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 ht="12.75" customHeight="1" x14ac:dyDescent="0.2">
      <c r="A726" s="81"/>
      <c r="B726" s="218"/>
      <c r="C726" s="218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 ht="12.75" customHeight="1" x14ac:dyDescent="0.2">
      <c r="A727" s="81"/>
      <c r="B727" s="218"/>
      <c r="C727" s="218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 ht="12.75" customHeight="1" x14ac:dyDescent="0.2">
      <c r="A728" s="81"/>
      <c r="B728" s="218"/>
      <c r="C728" s="218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 ht="12.75" customHeight="1" x14ac:dyDescent="0.2">
      <c r="A729" s="81"/>
      <c r="B729" s="218"/>
      <c r="C729" s="218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 ht="12.75" customHeight="1" x14ac:dyDescent="0.2">
      <c r="A730" s="81"/>
      <c r="B730" s="218"/>
      <c r="C730" s="218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 ht="12.75" customHeight="1" x14ac:dyDescent="0.2">
      <c r="A731" s="81"/>
      <c r="B731" s="218"/>
      <c r="C731" s="218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 ht="12.75" customHeight="1" x14ac:dyDescent="0.2">
      <c r="A732" s="81"/>
      <c r="B732" s="218"/>
      <c r="C732" s="218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 ht="12.75" customHeight="1" x14ac:dyDescent="0.2">
      <c r="A733" s="81"/>
      <c r="B733" s="218"/>
      <c r="C733" s="218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 ht="12.75" customHeight="1" x14ac:dyDescent="0.2">
      <c r="A734" s="81"/>
      <c r="B734" s="218"/>
      <c r="C734" s="218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 ht="12.75" customHeight="1" x14ac:dyDescent="0.2">
      <c r="A735" s="81"/>
      <c r="B735" s="218"/>
      <c r="C735" s="218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 ht="12.75" customHeight="1" x14ac:dyDescent="0.2">
      <c r="A736" s="81"/>
      <c r="B736" s="218"/>
      <c r="C736" s="218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 ht="12.75" customHeight="1" x14ac:dyDescent="0.2">
      <c r="A737" s="81"/>
      <c r="B737" s="218"/>
      <c r="C737" s="218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 ht="12.75" customHeight="1" x14ac:dyDescent="0.2">
      <c r="A738" s="81"/>
      <c r="B738" s="218"/>
      <c r="C738" s="218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 ht="12.75" customHeight="1" x14ac:dyDescent="0.2">
      <c r="A739" s="81"/>
      <c r="B739" s="218"/>
      <c r="C739" s="218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 ht="12.75" customHeight="1" x14ac:dyDescent="0.2">
      <c r="A740" s="81"/>
      <c r="B740" s="218"/>
      <c r="C740" s="218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 ht="12.75" customHeight="1" x14ac:dyDescent="0.2">
      <c r="A741" s="81"/>
      <c r="B741" s="218"/>
      <c r="C741" s="218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 ht="12.75" customHeight="1" x14ac:dyDescent="0.2">
      <c r="A742" s="81"/>
      <c r="B742" s="218"/>
      <c r="C742" s="218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 ht="12.75" customHeight="1" x14ac:dyDescent="0.2">
      <c r="A743" s="81"/>
      <c r="B743" s="218"/>
      <c r="C743" s="218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 ht="12.75" customHeight="1" x14ac:dyDescent="0.2">
      <c r="A744" s="81"/>
      <c r="B744" s="218"/>
      <c r="C744" s="218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 ht="12.75" customHeight="1" x14ac:dyDescent="0.2">
      <c r="A745" s="81"/>
      <c r="B745" s="218"/>
      <c r="C745" s="218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 ht="12.75" customHeight="1" x14ac:dyDescent="0.2">
      <c r="A746" s="81"/>
      <c r="B746" s="218"/>
      <c r="C746" s="218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 ht="12.75" customHeight="1" x14ac:dyDescent="0.2">
      <c r="A747" s="81"/>
      <c r="B747" s="218"/>
      <c r="C747" s="218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 ht="12.75" customHeight="1" x14ac:dyDescent="0.2">
      <c r="A748" s="81"/>
      <c r="B748" s="218"/>
      <c r="C748" s="218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 ht="12.75" customHeight="1" x14ac:dyDescent="0.2">
      <c r="A749" s="81"/>
      <c r="B749" s="218"/>
      <c r="C749" s="218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 ht="12.75" customHeight="1" x14ac:dyDescent="0.2">
      <c r="A750" s="81"/>
      <c r="B750" s="218"/>
      <c r="C750" s="218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 ht="12.75" customHeight="1" x14ac:dyDescent="0.2">
      <c r="A751" s="81"/>
      <c r="B751" s="218"/>
      <c r="C751" s="218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 ht="12.75" customHeight="1" x14ac:dyDescent="0.2">
      <c r="A752" s="81"/>
      <c r="B752" s="218"/>
      <c r="C752" s="218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 ht="12.75" customHeight="1" x14ac:dyDescent="0.2">
      <c r="A753" s="81"/>
      <c r="B753" s="218"/>
      <c r="C753" s="218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 ht="12.75" customHeight="1" x14ac:dyDescent="0.2">
      <c r="A754" s="81"/>
      <c r="B754" s="218"/>
      <c r="C754" s="218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 ht="12.75" customHeight="1" x14ac:dyDescent="0.2">
      <c r="A755" s="81"/>
      <c r="B755" s="218"/>
      <c r="C755" s="218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 ht="12.75" customHeight="1" x14ac:dyDescent="0.2">
      <c r="A756" s="81"/>
      <c r="B756" s="218"/>
      <c r="C756" s="218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 ht="12.75" customHeight="1" x14ac:dyDescent="0.2">
      <c r="A757" s="81"/>
      <c r="B757" s="218"/>
      <c r="C757" s="218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 ht="12.75" customHeight="1" x14ac:dyDescent="0.2">
      <c r="A758" s="81"/>
      <c r="B758" s="218"/>
      <c r="C758" s="218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 ht="12.75" customHeight="1" x14ac:dyDescent="0.2">
      <c r="A759" s="81"/>
      <c r="B759" s="218"/>
      <c r="C759" s="218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 ht="12.75" customHeight="1" x14ac:dyDescent="0.2">
      <c r="A760" s="81"/>
      <c r="B760" s="218"/>
      <c r="C760" s="218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 ht="12.75" customHeight="1" x14ac:dyDescent="0.2">
      <c r="A761" s="81"/>
      <c r="B761" s="218"/>
      <c r="C761" s="218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 ht="12.75" customHeight="1" x14ac:dyDescent="0.2">
      <c r="A762" s="81"/>
      <c r="B762" s="218"/>
      <c r="C762" s="218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 ht="12.75" customHeight="1" x14ac:dyDescent="0.2">
      <c r="A763" s="81"/>
      <c r="B763" s="218"/>
      <c r="C763" s="218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 ht="12.75" customHeight="1" x14ac:dyDescent="0.2">
      <c r="A764" s="81"/>
      <c r="B764" s="218"/>
      <c r="C764" s="218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 ht="12.75" customHeight="1" x14ac:dyDescent="0.2">
      <c r="A765" s="81"/>
      <c r="B765" s="218"/>
      <c r="C765" s="218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 ht="12.75" customHeight="1" x14ac:dyDescent="0.2">
      <c r="A766" s="81"/>
      <c r="B766" s="218"/>
      <c r="C766" s="218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 ht="12.75" customHeight="1" x14ac:dyDescent="0.2">
      <c r="A767" s="81"/>
      <c r="B767" s="218"/>
      <c r="C767" s="218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 ht="12.75" customHeight="1" x14ac:dyDescent="0.2">
      <c r="A768" s="81"/>
      <c r="B768" s="218"/>
      <c r="C768" s="218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 ht="12.75" customHeight="1" x14ac:dyDescent="0.2">
      <c r="A769" s="81"/>
      <c r="B769" s="218"/>
      <c r="C769" s="218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 ht="12.75" customHeight="1" x14ac:dyDescent="0.2">
      <c r="A770" s="81"/>
      <c r="B770" s="218"/>
      <c r="C770" s="218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 ht="12.75" customHeight="1" x14ac:dyDescent="0.2">
      <c r="A771" s="81"/>
      <c r="B771" s="218"/>
      <c r="C771" s="218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 ht="12.75" customHeight="1" x14ac:dyDescent="0.2">
      <c r="A772" s="81"/>
      <c r="B772" s="218"/>
      <c r="C772" s="218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 ht="12.75" customHeight="1" x14ac:dyDescent="0.2">
      <c r="A773" s="81"/>
      <c r="B773" s="218"/>
      <c r="C773" s="218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 ht="12.75" customHeight="1" x14ac:dyDescent="0.2">
      <c r="A774" s="81"/>
      <c r="B774" s="218"/>
      <c r="C774" s="218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 ht="12.75" customHeight="1" x14ac:dyDescent="0.2">
      <c r="A775" s="81"/>
      <c r="B775" s="218"/>
      <c r="C775" s="218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 ht="12.75" customHeight="1" x14ac:dyDescent="0.2">
      <c r="A776" s="81"/>
      <c r="B776" s="218"/>
      <c r="C776" s="218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 ht="12.75" customHeight="1" x14ac:dyDescent="0.2">
      <c r="A777" s="81"/>
      <c r="B777" s="218"/>
      <c r="C777" s="218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 ht="12.75" customHeight="1" x14ac:dyDescent="0.2">
      <c r="A778" s="81"/>
      <c r="B778" s="218"/>
      <c r="C778" s="218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 ht="12.75" customHeight="1" x14ac:dyDescent="0.2">
      <c r="A779" s="81"/>
      <c r="B779" s="218"/>
      <c r="C779" s="218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 ht="12.75" customHeight="1" x14ac:dyDescent="0.2">
      <c r="A780" s="81"/>
      <c r="B780" s="218"/>
      <c r="C780" s="218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 ht="12.75" customHeight="1" x14ac:dyDescent="0.2">
      <c r="A781" s="81"/>
      <c r="B781" s="218"/>
      <c r="C781" s="218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 ht="12.75" customHeight="1" x14ac:dyDescent="0.2">
      <c r="A782" s="81"/>
      <c r="B782" s="218"/>
      <c r="C782" s="218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 ht="12.75" customHeight="1" x14ac:dyDescent="0.2">
      <c r="A783" s="81"/>
      <c r="B783" s="218"/>
      <c r="C783" s="218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 ht="12.75" customHeight="1" x14ac:dyDescent="0.2">
      <c r="A784" s="81"/>
      <c r="B784" s="218"/>
      <c r="C784" s="218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 ht="12.75" customHeight="1" x14ac:dyDescent="0.2">
      <c r="A785" s="81"/>
      <c r="B785" s="218"/>
      <c r="C785" s="218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 ht="12.75" customHeight="1" x14ac:dyDescent="0.2">
      <c r="A786" s="81"/>
      <c r="B786" s="218"/>
      <c r="C786" s="218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 ht="12.75" customHeight="1" x14ac:dyDescent="0.2">
      <c r="A787" s="81"/>
      <c r="B787" s="218"/>
      <c r="C787" s="218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 ht="12.75" customHeight="1" x14ac:dyDescent="0.2">
      <c r="A788" s="81"/>
      <c r="B788" s="218"/>
      <c r="C788" s="218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 ht="12.75" customHeight="1" x14ac:dyDescent="0.2">
      <c r="A789" s="81"/>
      <c r="B789" s="218"/>
      <c r="C789" s="218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 ht="12.75" customHeight="1" x14ac:dyDescent="0.2">
      <c r="A790" s="81"/>
      <c r="B790" s="218"/>
      <c r="C790" s="218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 ht="12.75" customHeight="1" x14ac:dyDescent="0.2">
      <c r="A791" s="81"/>
      <c r="B791" s="218"/>
      <c r="C791" s="218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 ht="12.75" customHeight="1" x14ac:dyDescent="0.2">
      <c r="A792" s="81"/>
      <c r="B792" s="218"/>
      <c r="C792" s="218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 ht="12.75" customHeight="1" x14ac:dyDescent="0.2">
      <c r="A793" s="81"/>
      <c r="B793" s="218"/>
      <c r="C793" s="218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 ht="12.75" customHeight="1" x14ac:dyDescent="0.2">
      <c r="A794" s="81"/>
      <c r="B794" s="218"/>
      <c r="C794" s="218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 ht="12.75" customHeight="1" x14ac:dyDescent="0.2">
      <c r="A795" s="81"/>
      <c r="B795" s="218"/>
      <c r="C795" s="218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 ht="12.75" customHeight="1" x14ac:dyDescent="0.2">
      <c r="A796" s="81"/>
      <c r="B796" s="218"/>
      <c r="C796" s="218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 ht="12.75" customHeight="1" x14ac:dyDescent="0.2">
      <c r="A797" s="81"/>
      <c r="B797" s="218"/>
      <c r="C797" s="218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 ht="12.75" customHeight="1" x14ac:dyDescent="0.2">
      <c r="A798" s="81"/>
      <c r="B798" s="218"/>
      <c r="C798" s="218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 ht="12.75" customHeight="1" x14ac:dyDescent="0.2">
      <c r="A799" s="81"/>
      <c r="B799" s="218"/>
      <c r="C799" s="218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 ht="12.75" customHeight="1" x14ac:dyDescent="0.2">
      <c r="A800" s="81"/>
      <c r="B800" s="218"/>
      <c r="C800" s="218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 ht="12.75" customHeight="1" x14ac:dyDescent="0.2">
      <c r="A801" s="81"/>
      <c r="B801" s="218"/>
      <c r="C801" s="218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 ht="12.75" customHeight="1" x14ac:dyDescent="0.2">
      <c r="A802" s="81"/>
      <c r="B802" s="218"/>
      <c r="C802" s="218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 ht="12.75" customHeight="1" x14ac:dyDescent="0.2">
      <c r="A803" s="81"/>
      <c r="B803" s="218"/>
      <c r="C803" s="218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 ht="12.75" customHeight="1" x14ac:dyDescent="0.2">
      <c r="A804" s="81"/>
      <c r="B804" s="218"/>
      <c r="C804" s="218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 ht="12.75" customHeight="1" x14ac:dyDescent="0.2">
      <c r="A805" s="81"/>
      <c r="B805" s="218"/>
      <c r="C805" s="218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 ht="12.75" customHeight="1" x14ac:dyDescent="0.2">
      <c r="A806" s="81"/>
      <c r="B806" s="218"/>
      <c r="C806" s="218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 ht="12.75" customHeight="1" x14ac:dyDescent="0.2">
      <c r="A807" s="81"/>
      <c r="B807" s="218"/>
      <c r="C807" s="218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 ht="12.75" customHeight="1" x14ac:dyDescent="0.2">
      <c r="A808" s="81"/>
      <c r="B808" s="218"/>
      <c r="C808" s="218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 ht="12.75" customHeight="1" x14ac:dyDescent="0.2">
      <c r="A809" s="81"/>
      <c r="B809" s="218"/>
      <c r="C809" s="218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 ht="12.75" customHeight="1" x14ac:dyDescent="0.2">
      <c r="A810" s="81"/>
      <c r="B810" s="218"/>
      <c r="C810" s="218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 ht="12.75" customHeight="1" x14ac:dyDescent="0.2">
      <c r="A811" s="81"/>
      <c r="B811" s="218"/>
      <c r="C811" s="218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 ht="12.75" customHeight="1" x14ac:dyDescent="0.2">
      <c r="A812" s="81"/>
      <c r="B812" s="218"/>
      <c r="C812" s="218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 ht="12.75" customHeight="1" x14ac:dyDescent="0.2">
      <c r="A813" s="81"/>
      <c r="B813" s="218"/>
      <c r="C813" s="218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 ht="12.75" customHeight="1" x14ac:dyDescent="0.2">
      <c r="A814" s="81"/>
      <c r="B814" s="218"/>
      <c r="C814" s="218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 ht="12.75" customHeight="1" x14ac:dyDescent="0.2">
      <c r="A815" s="81"/>
      <c r="B815" s="218"/>
      <c r="C815" s="218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 ht="12.75" customHeight="1" x14ac:dyDescent="0.2">
      <c r="A816" s="81"/>
      <c r="B816" s="218"/>
      <c r="C816" s="218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 ht="12.75" customHeight="1" x14ac:dyDescent="0.2">
      <c r="A817" s="81"/>
      <c r="B817" s="218"/>
      <c r="C817" s="218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 ht="12.75" customHeight="1" x14ac:dyDescent="0.2">
      <c r="A818" s="81"/>
      <c r="B818" s="218"/>
      <c r="C818" s="218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 ht="12.75" customHeight="1" x14ac:dyDescent="0.2">
      <c r="A819" s="81"/>
      <c r="B819" s="218"/>
      <c r="C819" s="218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 ht="12.75" customHeight="1" x14ac:dyDescent="0.2">
      <c r="A820" s="81"/>
      <c r="B820" s="218"/>
      <c r="C820" s="218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 ht="12.75" customHeight="1" x14ac:dyDescent="0.2">
      <c r="A821" s="81"/>
      <c r="B821" s="218"/>
      <c r="C821" s="218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 ht="12.75" customHeight="1" x14ac:dyDescent="0.2">
      <c r="A822" s="81"/>
      <c r="B822" s="218"/>
      <c r="C822" s="218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 ht="12.75" customHeight="1" x14ac:dyDescent="0.2">
      <c r="A823" s="81"/>
      <c r="B823" s="218"/>
      <c r="C823" s="218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 ht="12.75" customHeight="1" x14ac:dyDescent="0.2">
      <c r="A824" s="81"/>
      <c r="B824" s="218"/>
      <c r="C824" s="218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 ht="12.75" customHeight="1" x14ac:dyDescent="0.2">
      <c r="A825" s="81"/>
      <c r="B825" s="218"/>
      <c r="C825" s="218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 ht="12.75" customHeight="1" x14ac:dyDescent="0.2">
      <c r="A826" s="81"/>
      <c r="B826" s="218"/>
      <c r="C826" s="218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 ht="12.75" customHeight="1" x14ac:dyDescent="0.2">
      <c r="A827" s="81"/>
      <c r="B827" s="218"/>
      <c r="C827" s="218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 ht="12.75" customHeight="1" x14ac:dyDescent="0.2">
      <c r="A828" s="81"/>
      <c r="B828" s="218"/>
      <c r="C828" s="218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 ht="12.75" customHeight="1" x14ac:dyDescent="0.2">
      <c r="A829" s="81"/>
      <c r="B829" s="218"/>
      <c r="C829" s="218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 ht="12.75" customHeight="1" x14ac:dyDescent="0.2">
      <c r="A830" s="81"/>
      <c r="B830" s="218"/>
      <c r="C830" s="218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 ht="12.75" customHeight="1" x14ac:dyDescent="0.2">
      <c r="A831" s="81"/>
      <c r="B831" s="218"/>
      <c r="C831" s="218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 ht="12.75" customHeight="1" x14ac:dyDescent="0.2">
      <c r="A832" s="81"/>
      <c r="B832" s="218"/>
      <c r="C832" s="218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 ht="12.75" customHeight="1" x14ac:dyDescent="0.2">
      <c r="A833" s="81"/>
      <c r="B833" s="218"/>
      <c r="C833" s="218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 ht="12.75" customHeight="1" x14ac:dyDescent="0.2">
      <c r="A834" s="81"/>
      <c r="B834" s="218"/>
      <c r="C834" s="218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 ht="12.75" customHeight="1" x14ac:dyDescent="0.2">
      <c r="A835" s="81"/>
      <c r="B835" s="218"/>
      <c r="C835" s="218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 ht="12.75" customHeight="1" x14ac:dyDescent="0.2">
      <c r="A836" s="81"/>
      <c r="B836" s="218"/>
      <c r="C836" s="218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 ht="12.75" customHeight="1" x14ac:dyDescent="0.2">
      <c r="A837" s="81"/>
      <c r="B837" s="218"/>
      <c r="C837" s="218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 ht="12.75" customHeight="1" x14ac:dyDescent="0.2">
      <c r="A838" s="81"/>
      <c r="B838" s="218"/>
      <c r="C838" s="218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 ht="12.75" customHeight="1" x14ac:dyDescent="0.2">
      <c r="A839" s="81"/>
      <c r="B839" s="218"/>
      <c r="C839" s="218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 ht="12.75" customHeight="1" x14ac:dyDescent="0.2">
      <c r="A840" s="81"/>
      <c r="B840" s="218"/>
      <c r="C840" s="218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 ht="12.75" customHeight="1" x14ac:dyDescent="0.2">
      <c r="A841" s="81"/>
      <c r="B841" s="218"/>
      <c r="C841" s="218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 ht="12.75" customHeight="1" x14ac:dyDescent="0.2">
      <c r="A842" s="81"/>
      <c r="B842" s="218"/>
      <c r="C842" s="218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 ht="12.75" customHeight="1" x14ac:dyDescent="0.2">
      <c r="A843" s="81"/>
      <c r="B843" s="218"/>
      <c r="C843" s="218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 ht="12.75" customHeight="1" x14ac:dyDescent="0.2">
      <c r="A844" s="81"/>
      <c r="B844" s="218"/>
      <c r="C844" s="218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 ht="12.75" customHeight="1" x14ac:dyDescent="0.2">
      <c r="A845" s="81"/>
      <c r="B845" s="218"/>
      <c r="C845" s="218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 ht="12.75" customHeight="1" x14ac:dyDescent="0.2">
      <c r="A846" s="81"/>
      <c r="B846" s="218"/>
      <c r="C846" s="218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 ht="12.75" customHeight="1" x14ac:dyDescent="0.2">
      <c r="A847" s="81"/>
      <c r="B847" s="218"/>
      <c r="C847" s="218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 ht="12.75" customHeight="1" x14ac:dyDescent="0.2">
      <c r="A848" s="81"/>
      <c r="B848" s="218"/>
      <c r="C848" s="218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 ht="12.75" customHeight="1" x14ac:dyDescent="0.2">
      <c r="A849" s="81"/>
      <c r="B849" s="218"/>
      <c r="C849" s="218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 ht="12.75" customHeight="1" x14ac:dyDescent="0.2">
      <c r="A850" s="81"/>
      <c r="B850" s="218"/>
      <c r="C850" s="218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 ht="12.75" customHeight="1" x14ac:dyDescent="0.2">
      <c r="A851" s="81"/>
      <c r="B851" s="218"/>
      <c r="C851" s="218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 ht="12.75" customHeight="1" x14ac:dyDescent="0.2">
      <c r="A852" s="81"/>
      <c r="B852" s="218"/>
      <c r="C852" s="218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 ht="12.75" customHeight="1" x14ac:dyDescent="0.2">
      <c r="A853" s="81"/>
      <c r="B853" s="218"/>
      <c r="C853" s="218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 ht="12.75" customHeight="1" x14ac:dyDescent="0.2">
      <c r="A854" s="81"/>
      <c r="B854" s="218"/>
      <c r="C854" s="218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 ht="12.75" customHeight="1" x14ac:dyDescent="0.2">
      <c r="A855" s="81"/>
      <c r="B855" s="218"/>
      <c r="C855" s="218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 ht="12.75" customHeight="1" x14ac:dyDescent="0.2">
      <c r="A856" s="81"/>
      <c r="B856" s="218"/>
      <c r="C856" s="218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 ht="12.75" customHeight="1" x14ac:dyDescent="0.2">
      <c r="A857" s="81"/>
      <c r="B857" s="218"/>
      <c r="C857" s="218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 ht="12.75" customHeight="1" x14ac:dyDescent="0.2">
      <c r="A858" s="81"/>
      <c r="B858" s="218"/>
      <c r="C858" s="218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 ht="12.75" customHeight="1" x14ac:dyDescent="0.2">
      <c r="A859" s="81"/>
      <c r="B859" s="218"/>
      <c r="C859" s="218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 ht="12.75" customHeight="1" x14ac:dyDescent="0.2">
      <c r="A860" s="81"/>
      <c r="B860" s="218"/>
      <c r="C860" s="218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 ht="12.75" customHeight="1" x14ac:dyDescent="0.2">
      <c r="A861" s="81"/>
      <c r="B861" s="218"/>
      <c r="C861" s="218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 ht="12.75" customHeight="1" x14ac:dyDescent="0.2">
      <c r="A862" s="81"/>
      <c r="B862" s="218"/>
      <c r="C862" s="218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 ht="12.75" customHeight="1" x14ac:dyDescent="0.2">
      <c r="A863" s="81"/>
      <c r="B863" s="218"/>
      <c r="C863" s="218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 ht="12.75" customHeight="1" x14ac:dyDescent="0.2">
      <c r="A864" s="81"/>
      <c r="B864" s="218"/>
      <c r="C864" s="218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 ht="12.75" customHeight="1" x14ac:dyDescent="0.2">
      <c r="A865" s="81"/>
      <c r="B865" s="218"/>
      <c r="C865" s="218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 ht="12.75" customHeight="1" x14ac:dyDescent="0.2">
      <c r="A866" s="81"/>
      <c r="B866" s="218"/>
      <c r="C866" s="218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 ht="12.75" customHeight="1" x14ac:dyDescent="0.2">
      <c r="A867" s="81"/>
      <c r="B867" s="218"/>
      <c r="C867" s="218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 ht="12.75" customHeight="1" x14ac:dyDescent="0.2">
      <c r="A868" s="81"/>
      <c r="B868" s="218"/>
      <c r="C868" s="218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 ht="12.75" customHeight="1" x14ac:dyDescent="0.2">
      <c r="A869" s="81"/>
      <c r="B869" s="218"/>
      <c r="C869" s="218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 ht="12.75" customHeight="1" x14ac:dyDescent="0.2">
      <c r="A870" s="81"/>
      <c r="B870" s="218"/>
      <c r="C870" s="218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 ht="12.75" customHeight="1" x14ac:dyDescent="0.2">
      <c r="A871" s="81"/>
      <c r="B871" s="218"/>
      <c r="C871" s="218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 ht="12.75" customHeight="1" x14ac:dyDescent="0.2">
      <c r="A872" s="81"/>
      <c r="B872" s="218"/>
      <c r="C872" s="218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 ht="12.75" customHeight="1" x14ac:dyDescent="0.2">
      <c r="A873" s="81"/>
      <c r="B873" s="218"/>
      <c r="C873" s="218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 ht="12.75" customHeight="1" x14ac:dyDescent="0.2">
      <c r="A874" s="81"/>
      <c r="B874" s="218"/>
      <c r="C874" s="218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 ht="12.75" customHeight="1" x14ac:dyDescent="0.2">
      <c r="A875" s="81"/>
      <c r="B875" s="218"/>
      <c r="C875" s="218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 ht="12.75" customHeight="1" x14ac:dyDescent="0.2">
      <c r="A876" s="81"/>
      <c r="B876" s="218"/>
      <c r="C876" s="218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 ht="12.75" customHeight="1" x14ac:dyDescent="0.2">
      <c r="A877" s="81"/>
      <c r="B877" s="218"/>
      <c r="C877" s="218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 ht="12.75" customHeight="1" x14ac:dyDescent="0.2">
      <c r="A878" s="81"/>
      <c r="B878" s="218"/>
      <c r="C878" s="218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 ht="12.75" customHeight="1" x14ac:dyDescent="0.2">
      <c r="A879" s="81"/>
      <c r="B879" s="218"/>
      <c r="C879" s="218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 ht="12.75" customHeight="1" x14ac:dyDescent="0.2">
      <c r="A880" s="81"/>
      <c r="B880" s="218"/>
      <c r="C880" s="218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 ht="12.75" customHeight="1" x14ac:dyDescent="0.2">
      <c r="A881" s="81"/>
      <c r="B881" s="218"/>
      <c r="C881" s="218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 ht="12.75" customHeight="1" x14ac:dyDescent="0.2">
      <c r="A882" s="81"/>
      <c r="B882" s="218"/>
      <c r="C882" s="218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 ht="12.75" customHeight="1" x14ac:dyDescent="0.2">
      <c r="A883" s="81"/>
      <c r="B883" s="218"/>
      <c r="C883" s="218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 ht="12.75" customHeight="1" x14ac:dyDescent="0.2">
      <c r="A884" s="81"/>
      <c r="B884" s="218"/>
      <c r="C884" s="218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 ht="12.75" customHeight="1" x14ac:dyDescent="0.2">
      <c r="A885" s="81"/>
      <c r="B885" s="218"/>
      <c r="C885" s="218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 ht="12.75" customHeight="1" x14ac:dyDescent="0.2">
      <c r="A886" s="81"/>
      <c r="B886" s="218"/>
      <c r="C886" s="218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 ht="12.75" customHeight="1" x14ac:dyDescent="0.2">
      <c r="A887" s="81"/>
      <c r="B887" s="218"/>
      <c r="C887" s="218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 ht="12.75" customHeight="1" x14ac:dyDescent="0.2">
      <c r="A888" s="81"/>
      <c r="B888" s="218"/>
      <c r="C888" s="218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 ht="12.75" customHeight="1" x14ac:dyDescent="0.2">
      <c r="A889" s="81"/>
      <c r="B889" s="218"/>
      <c r="C889" s="218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 ht="12.75" customHeight="1" x14ac:dyDescent="0.2">
      <c r="A890" s="81"/>
      <c r="B890" s="218"/>
      <c r="C890" s="218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 ht="12.75" customHeight="1" x14ac:dyDescent="0.2">
      <c r="A891" s="81"/>
      <c r="B891" s="218"/>
      <c r="C891" s="218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 ht="12.75" customHeight="1" x14ac:dyDescent="0.2">
      <c r="A892" s="81"/>
      <c r="B892" s="218"/>
      <c r="C892" s="218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 ht="12.75" customHeight="1" x14ac:dyDescent="0.2">
      <c r="A893" s="81"/>
      <c r="B893" s="218"/>
      <c r="C893" s="218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 ht="12.75" customHeight="1" x14ac:dyDescent="0.2">
      <c r="A894" s="81"/>
      <c r="B894" s="218"/>
      <c r="C894" s="218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 ht="12.75" customHeight="1" x14ac:dyDescent="0.2">
      <c r="A895" s="81"/>
      <c r="B895" s="218"/>
      <c r="C895" s="218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 ht="12.75" customHeight="1" x14ac:dyDescent="0.2">
      <c r="A896" s="81"/>
      <c r="B896" s="218"/>
      <c r="C896" s="218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 ht="12.75" customHeight="1" x14ac:dyDescent="0.2">
      <c r="A897" s="81"/>
      <c r="B897" s="218"/>
      <c r="C897" s="218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 ht="12.75" customHeight="1" x14ac:dyDescent="0.2">
      <c r="A898" s="81"/>
      <c r="B898" s="218"/>
      <c r="C898" s="218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 ht="12.75" customHeight="1" x14ac:dyDescent="0.2">
      <c r="A899" s="81"/>
      <c r="B899" s="218"/>
      <c r="C899" s="218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 ht="12.75" customHeight="1" x14ac:dyDescent="0.2">
      <c r="A900" s="81"/>
      <c r="B900" s="218"/>
      <c r="C900" s="218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 ht="12.75" customHeight="1" x14ac:dyDescent="0.2">
      <c r="A901" s="81"/>
      <c r="B901" s="218"/>
      <c r="C901" s="218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 ht="12.75" customHeight="1" x14ac:dyDescent="0.2">
      <c r="A902" s="81"/>
      <c r="B902" s="218"/>
      <c r="C902" s="218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 ht="12.75" customHeight="1" x14ac:dyDescent="0.2">
      <c r="A903" s="81"/>
      <c r="B903" s="218"/>
      <c r="C903" s="218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 ht="12.75" customHeight="1" x14ac:dyDescent="0.2">
      <c r="A904" s="81"/>
      <c r="B904" s="218"/>
      <c r="C904" s="218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 ht="12.75" customHeight="1" x14ac:dyDescent="0.2">
      <c r="A905" s="81"/>
      <c r="B905" s="218"/>
      <c r="C905" s="218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 ht="12.75" customHeight="1" x14ac:dyDescent="0.2">
      <c r="A906" s="81"/>
      <c r="B906" s="218"/>
      <c r="C906" s="218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 ht="12.75" customHeight="1" x14ac:dyDescent="0.2">
      <c r="A907" s="81"/>
      <c r="B907" s="218"/>
      <c r="C907" s="218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 ht="12.75" customHeight="1" x14ac:dyDescent="0.2">
      <c r="A908" s="81"/>
      <c r="B908" s="218"/>
      <c r="C908" s="218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 ht="12.75" customHeight="1" x14ac:dyDescent="0.2">
      <c r="A909" s="81"/>
      <c r="B909" s="218"/>
      <c r="C909" s="218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 ht="12.75" customHeight="1" x14ac:dyDescent="0.2">
      <c r="A910" s="81"/>
      <c r="B910" s="218"/>
      <c r="C910" s="218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 ht="12.75" customHeight="1" x14ac:dyDescent="0.2">
      <c r="A911" s="81"/>
      <c r="B911" s="218"/>
      <c r="C911" s="218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 ht="12.75" customHeight="1" x14ac:dyDescent="0.2">
      <c r="A912" s="81"/>
      <c r="B912" s="218"/>
      <c r="C912" s="218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 ht="12.75" customHeight="1" x14ac:dyDescent="0.2">
      <c r="A913" s="81"/>
      <c r="B913" s="218"/>
      <c r="C913" s="218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 ht="12.75" customHeight="1" x14ac:dyDescent="0.2">
      <c r="A914" s="81"/>
      <c r="B914" s="218"/>
      <c r="C914" s="218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 ht="12.75" customHeight="1" x14ac:dyDescent="0.2">
      <c r="A915" s="81"/>
      <c r="B915" s="218"/>
      <c r="C915" s="218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 ht="12.75" customHeight="1" x14ac:dyDescent="0.2">
      <c r="A916" s="81"/>
      <c r="B916" s="218"/>
      <c r="C916" s="218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 ht="12.75" customHeight="1" x14ac:dyDescent="0.2">
      <c r="A917" s="81"/>
      <c r="B917" s="218"/>
      <c r="C917" s="218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 ht="12.75" customHeight="1" x14ac:dyDescent="0.2">
      <c r="A918" s="81"/>
      <c r="B918" s="218"/>
      <c r="C918" s="218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 ht="12.75" customHeight="1" x14ac:dyDescent="0.2">
      <c r="A919" s="81"/>
      <c r="B919" s="218"/>
      <c r="C919" s="218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 ht="12.75" customHeight="1" x14ac:dyDescent="0.2">
      <c r="A920" s="81"/>
      <c r="B920" s="218"/>
      <c r="C920" s="218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 ht="12.75" customHeight="1" x14ac:dyDescent="0.2">
      <c r="A921" s="81"/>
      <c r="B921" s="218"/>
      <c r="C921" s="218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 ht="12.75" customHeight="1" x14ac:dyDescent="0.2">
      <c r="A922" s="81"/>
      <c r="B922" s="218"/>
      <c r="C922" s="218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 ht="12.75" customHeight="1" x14ac:dyDescent="0.2">
      <c r="A923" s="81"/>
      <c r="B923" s="218"/>
      <c r="C923" s="218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 ht="12.75" customHeight="1" x14ac:dyDescent="0.2">
      <c r="A924" s="81"/>
      <c r="B924" s="218"/>
      <c r="C924" s="218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 ht="12.75" customHeight="1" x14ac:dyDescent="0.2">
      <c r="A925" s="81"/>
      <c r="B925" s="218"/>
      <c r="C925" s="218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 ht="12.75" customHeight="1" x14ac:dyDescent="0.2">
      <c r="A926" s="81"/>
      <c r="B926" s="218"/>
      <c r="C926" s="218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 ht="12.75" customHeight="1" x14ac:dyDescent="0.2">
      <c r="A927" s="81"/>
      <c r="B927" s="218"/>
      <c r="C927" s="218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 ht="12.75" customHeight="1" x14ac:dyDescent="0.2">
      <c r="A928" s="81"/>
      <c r="B928" s="218"/>
      <c r="C928" s="218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 ht="12.75" customHeight="1" x14ac:dyDescent="0.2">
      <c r="A929" s="81"/>
      <c r="B929" s="218"/>
      <c r="C929" s="218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 ht="12.75" customHeight="1" x14ac:dyDescent="0.2">
      <c r="A930" s="81"/>
      <c r="B930" s="218"/>
      <c r="C930" s="218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 ht="12.75" customHeight="1" x14ac:dyDescent="0.2">
      <c r="A931" s="81"/>
      <c r="B931" s="218"/>
      <c r="C931" s="218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 ht="12.75" customHeight="1" x14ac:dyDescent="0.2">
      <c r="A932" s="81"/>
      <c r="B932" s="218"/>
      <c r="C932" s="218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 ht="12.75" customHeight="1" x14ac:dyDescent="0.2">
      <c r="A933" s="81"/>
      <c r="B933" s="218"/>
      <c r="C933" s="218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 ht="12.75" customHeight="1" x14ac:dyDescent="0.2">
      <c r="A934" s="81"/>
      <c r="B934" s="218"/>
      <c r="C934" s="218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 ht="12.75" customHeight="1" x14ac:dyDescent="0.2">
      <c r="A935" s="81"/>
      <c r="B935" s="218"/>
      <c r="C935" s="218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 ht="12.75" customHeight="1" x14ac:dyDescent="0.2">
      <c r="A936" s="81"/>
      <c r="B936" s="218"/>
      <c r="C936" s="218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 ht="12.75" customHeight="1" x14ac:dyDescent="0.2">
      <c r="A937" s="81"/>
      <c r="B937" s="218"/>
      <c r="C937" s="218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 ht="12.75" customHeight="1" x14ac:dyDescent="0.2">
      <c r="A938" s="81"/>
      <c r="B938" s="218"/>
      <c r="C938" s="218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 ht="12.75" customHeight="1" x14ac:dyDescent="0.2">
      <c r="A939" s="81"/>
      <c r="B939" s="218"/>
      <c r="C939" s="218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 ht="12.75" customHeight="1" x14ac:dyDescent="0.2">
      <c r="A940" s="81"/>
      <c r="B940" s="218"/>
      <c r="C940" s="218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 ht="12.75" customHeight="1" x14ac:dyDescent="0.2">
      <c r="A941" s="81"/>
      <c r="B941" s="218"/>
      <c r="C941" s="218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 ht="12.75" customHeight="1" x14ac:dyDescent="0.2">
      <c r="A942" s="81"/>
      <c r="B942" s="218"/>
      <c r="C942" s="218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 ht="12.75" customHeight="1" x14ac:dyDescent="0.2">
      <c r="A943" s="81"/>
      <c r="B943" s="218"/>
      <c r="C943" s="218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 ht="12.75" customHeight="1" x14ac:dyDescent="0.2">
      <c r="A944" s="81"/>
      <c r="B944" s="218"/>
      <c r="C944" s="218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 ht="12.75" customHeight="1" x14ac:dyDescent="0.2">
      <c r="A945" s="81"/>
      <c r="B945" s="218"/>
      <c r="C945" s="218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 ht="12.75" customHeight="1" x14ac:dyDescent="0.2">
      <c r="A946" s="81"/>
      <c r="B946" s="218"/>
      <c r="C946" s="218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 ht="12.75" customHeight="1" x14ac:dyDescent="0.2">
      <c r="A947" s="81"/>
      <c r="B947" s="218"/>
      <c r="C947" s="218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 ht="12.75" customHeight="1" x14ac:dyDescent="0.2">
      <c r="A948" s="81"/>
      <c r="B948" s="218"/>
      <c r="C948" s="218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 ht="12.75" customHeight="1" x14ac:dyDescent="0.2">
      <c r="A949" s="81"/>
      <c r="B949" s="218"/>
      <c r="C949" s="218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 ht="12.75" customHeight="1" x14ac:dyDescent="0.2">
      <c r="A950" s="81"/>
      <c r="B950" s="218"/>
      <c r="C950" s="218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 ht="12.75" customHeight="1" x14ac:dyDescent="0.2">
      <c r="A951" s="81"/>
      <c r="B951" s="218"/>
      <c r="C951" s="218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 ht="12.75" customHeight="1" x14ac:dyDescent="0.2">
      <c r="A952" s="81"/>
      <c r="B952" s="218"/>
      <c r="C952" s="218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 ht="12.75" customHeight="1" x14ac:dyDescent="0.2">
      <c r="A953" s="81"/>
      <c r="B953" s="218"/>
      <c r="C953" s="218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 ht="12.75" customHeight="1" x14ac:dyDescent="0.2">
      <c r="A954" s="81"/>
      <c r="B954" s="218"/>
      <c r="C954" s="218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 ht="12.75" customHeight="1" x14ac:dyDescent="0.2">
      <c r="A955" s="81"/>
      <c r="B955" s="218"/>
      <c r="C955" s="218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 ht="12.75" customHeight="1" x14ac:dyDescent="0.2">
      <c r="A956" s="81"/>
      <c r="B956" s="218"/>
      <c r="C956" s="218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 ht="12.75" customHeight="1" x14ac:dyDescent="0.2">
      <c r="A957" s="81"/>
      <c r="B957" s="218"/>
      <c r="C957" s="218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 ht="12.75" customHeight="1" x14ac:dyDescent="0.2">
      <c r="A958" s="81"/>
      <c r="B958" s="218"/>
      <c r="C958" s="218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 ht="12.75" customHeight="1" x14ac:dyDescent="0.2">
      <c r="A959" s="81"/>
      <c r="B959" s="218"/>
      <c r="C959" s="218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 ht="12.75" customHeight="1" x14ac:dyDescent="0.2">
      <c r="A960" s="81"/>
      <c r="B960" s="218"/>
      <c r="C960" s="218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 ht="12.75" customHeight="1" x14ac:dyDescent="0.2">
      <c r="A961" s="81"/>
      <c r="B961" s="218"/>
      <c r="C961" s="218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 ht="12.75" customHeight="1" x14ac:dyDescent="0.2">
      <c r="A962" s="81"/>
      <c r="B962" s="218"/>
      <c r="C962" s="218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 ht="12.75" customHeight="1" x14ac:dyDescent="0.2">
      <c r="A963" s="81"/>
      <c r="B963" s="218"/>
      <c r="C963" s="218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 ht="12.75" customHeight="1" x14ac:dyDescent="0.2">
      <c r="A964" s="81"/>
      <c r="B964" s="218"/>
      <c r="C964" s="218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 ht="12.75" customHeight="1" x14ac:dyDescent="0.2">
      <c r="A965" s="81"/>
      <c r="B965" s="218"/>
      <c r="C965" s="218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 ht="12.75" customHeight="1" x14ac:dyDescent="0.2">
      <c r="A966" s="81"/>
      <c r="B966" s="218"/>
      <c r="C966" s="218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 ht="12.75" customHeight="1" x14ac:dyDescent="0.2">
      <c r="A967" s="81"/>
      <c r="B967" s="218"/>
      <c r="C967" s="218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 ht="12.75" customHeight="1" x14ac:dyDescent="0.2">
      <c r="A968" s="81"/>
      <c r="B968" s="218"/>
      <c r="C968" s="218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 ht="12.75" customHeight="1" x14ac:dyDescent="0.2">
      <c r="A969" s="81"/>
      <c r="B969" s="218"/>
      <c r="C969" s="218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 ht="12.75" customHeight="1" x14ac:dyDescent="0.2">
      <c r="A970" s="81"/>
      <c r="B970" s="218"/>
      <c r="C970" s="218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 ht="12.75" customHeight="1" x14ac:dyDescent="0.2">
      <c r="A971" s="81"/>
      <c r="B971" s="218"/>
      <c r="C971" s="218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 ht="12.75" customHeight="1" x14ac:dyDescent="0.2">
      <c r="A972" s="81"/>
      <c r="B972" s="218"/>
      <c r="C972" s="218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 ht="12.75" customHeight="1" x14ac:dyDescent="0.2">
      <c r="A973" s="81"/>
      <c r="B973" s="218"/>
      <c r="C973" s="218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 ht="12.75" customHeight="1" x14ac:dyDescent="0.2">
      <c r="A974" s="81"/>
      <c r="B974" s="218"/>
      <c r="C974" s="218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 ht="12.75" customHeight="1" x14ac:dyDescent="0.2">
      <c r="A975" s="81"/>
      <c r="B975" s="218"/>
      <c r="C975" s="218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 ht="12.75" customHeight="1" x14ac:dyDescent="0.2">
      <c r="A976" s="81"/>
      <c r="B976" s="218"/>
      <c r="C976" s="218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 ht="12.75" customHeight="1" x14ac:dyDescent="0.2">
      <c r="A977" s="81"/>
      <c r="B977" s="218"/>
      <c r="C977" s="218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 ht="12.75" customHeight="1" x14ac:dyDescent="0.2">
      <c r="A978" s="81"/>
      <c r="B978" s="218"/>
      <c r="C978" s="218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 ht="12.75" customHeight="1" x14ac:dyDescent="0.2">
      <c r="A979" s="81"/>
      <c r="B979" s="218"/>
      <c r="C979" s="218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 ht="12.75" customHeight="1" x14ac:dyDescent="0.2">
      <c r="A980" s="81"/>
      <c r="B980" s="218"/>
      <c r="C980" s="218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 ht="12.75" customHeight="1" x14ac:dyDescent="0.2">
      <c r="A981" s="81"/>
      <c r="B981" s="218"/>
      <c r="C981" s="218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 ht="12.75" customHeight="1" x14ac:dyDescent="0.2">
      <c r="A982" s="81"/>
      <c r="B982" s="218"/>
      <c r="C982" s="218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 ht="12.75" customHeight="1" x14ac:dyDescent="0.2">
      <c r="A983" s="81"/>
      <c r="B983" s="218"/>
      <c r="C983" s="218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 ht="12.75" customHeight="1" x14ac:dyDescent="0.2">
      <c r="A984" s="81"/>
      <c r="B984" s="218"/>
      <c r="C984" s="218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 ht="12.75" customHeight="1" x14ac:dyDescent="0.2">
      <c r="A985" s="81"/>
      <c r="B985" s="218"/>
      <c r="C985" s="218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 ht="12.75" customHeight="1" x14ac:dyDescent="0.2">
      <c r="A986" s="81"/>
      <c r="B986" s="218"/>
      <c r="C986" s="218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 ht="12.75" customHeight="1" x14ac:dyDescent="0.2">
      <c r="A987" s="81"/>
      <c r="B987" s="218"/>
      <c r="C987" s="218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 ht="12.75" customHeight="1" x14ac:dyDescent="0.2">
      <c r="A988" s="81"/>
      <c r="B988" s="218"/>
      <c r="C988" s="218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 ht="12.75" customHeight="1" x14ac:dyDescent="0.2">
      <c r="A989" s="81"/>
      <c r="B989" s="218"/>
      <c r="C989" s="218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 ht="12.75" customHeight="1" x14ac:dyDescent="0.2">
      <c r="A990" s="81"/>
      <c r="B990" s="218"/>
      <c r="C990" s="218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 ht="12.75" customHeight="1" x14ac:dyDescent="0.2">
      <c r="A991" s="81"/>
      <c r="B991" s="218"/>
      <c r="C991" s="218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 ht="12.75" customHeight="1" x14ac:dyDescent="0.2">
      <c r="A992" s="81"/>
      <c r="B992" s="218"/>
      <c r="C992" s="218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 ht="12.75" customHeight="1" x14ac:dyDescent="0.2">
      <c r="A993" s="81"/>
      <c r="B993" s="218"/>
      <c r="C993" s="218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 ht="12.75" customHeight="1" x14ac:dyDescent="0.2">
      <c r="A994" s="81"/>
      <c r="B994" s="218"/>
      <c r="C994" s="218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 ht="12.75" customHeight="1" x14ac:dyDescent="0.2">
      <c r="A995" s="81"/>
      <c r="B995" s="218"/>
      <c r="C995" s="218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 ht="12.75" customHeight="1" x14ac:dyDescent="0.2">
      <c r="A996" s="81"/>
      <c r="B996" s="218"/>
      <c r="C996" s="218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 ht="12.75" customHeight="1" x14ac:dyDescent="0.2">
      <c r="A997" s="81"/>
      <c r="B997" s="218"/>
      <c r="C997" s="218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 ht="12.75" customHeight="1" x14ac:dyDescent="0.2">
      <c r="A998" s="81"/>
      <c r="B998" s="218"/>
      <c r="C998" s="218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 ht="12.75" customHeight="1" x14ac:dyDescent="0.2">
      <c r="A999" s="81"/>
      <c r="B999" s="218"/>
      <c r="C999" s="218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 ht="12.75" customHeight="1" x14ac:dyDescent="0.2">
      <c r="A1000" s="81"/>
      <c r="B1000" s="218"/>
      <c r="C1000" s="218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8">
    <mergeCell ref="I88:J88"/>
    <mergeCell ref="I89:J89"/>
    <mergeCell ref="I90:J90"/>
    <mergeCell ref="V35:Y35"/>
    <mergeCell ref="I83:J83"/>
    <mergeCell ref="I84:J84"/>
    <mergeCell ref="I85:J85"/>
    <mergeCell ref="I86:J86"/>
  </mergeCells>
  <pageMargins left="0.7" right="0.7" top="0.75" bottom="0.7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25" defaultRowHeight="15" customHeight="1" x14ac:dyDescent="0.2"/>
  <cols>
    <col min="1" max="1" width="59.875" customWidth="1"/>
    <col min="2" max="2" width="14.25" customWidth="1"/>
    <col min="3" max="3" width="9.25" customWidth="1"/>
    <col min="4" max="26" width="8" customWidth="1"/>
  </cols>
  <sheetData>
    <row r="1" spans="1:26" ht="22.5" x14ac:dyDescent="0.3">
      <c r="A1" s="150" t="s">
        <v>198</v>
      </c>
      <c r="B1" s="151"/>
      <c r="C1" s="151"/>
      <c r="D1" s="15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8" customHeight="1" x14ac:dyDescent="0.3">
      <c r="A2" s="152"/>
      <c r="B2" s="151"/>
      <c r="C2" s="151"/>
      <c r="D2" s="15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5.75" customHeight="1" x14ac:dyDescent="0.25">
      <c r="A3" s="153" t="s">
        <v>199</v>
      </c>
      <c r="B3" s="154"/>
      <c r="C3" s="151"/>
      <c r="D3" s="15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5.75" customHeight="1" x14ac:dyDescent="0.25">
      <c r="A4" s="155" t="s">
        <v>200</v>
      </c>
      <c r="B4" s="156">
        <v>2200</v>
      </c>
      <c r="C4" s="151"/>
      <c r="D4" s="15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5.75" customHeight="1" x14ac:dyDescent="0.25">
      <c r="A5" s="155" t="s">
        <v>201</v>
      </c>
      <c r="B5" s="156">
        <v>10500</v>
      </c>
      <c r="C5" s="151"/>
      <c r="D5" s="15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5.75" customHeight="1" x14ac:dyDescent="0.25">
      <c r="A6" s="155" t="s">
        <v>202</v>
      </c>
      <c r="B6" s="156">
        <v>30000</v>
      </c>
      <c r="C6" s="151"/>
      <c r="D6" s="15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customHeight="1" x14ac:dyDescent="0.25">
      <c r="A7" s="155" t="s">
        <v>203</v>
      </c>
      <c r="B7" s="156">
        <v>17500</v>
      </c>
      <c r="C7" s="151"/>
      <c r="D7" s="15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5.75" customHeight="1" x14ac:dyDescent="0.25">
      <c r="A8" s="155" t="s">
        <v>204</v>
      </c>
      <c r="B8" s="156">
        <v>4380</v>
      </c>
      <c r="C8" s="151"/>
      <c r="D8" s="15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5.75" customHeight="1" x14ac:dyDescent="0.25">
      <c r="A9" s="155" t="s">
        <v>205</v>
      </c>
      <c r="B9" s="156">
        <v>1780</v>
      </c>
      <c r="C9" s="151"/>
      <c r="D9" s="15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5.75" customHeight="1" x14ac:dyDescent="0.25">
      <c r="A10" s="157" t="s">
        <v>206</v>
      </c>
      <c r="B10" s="158">
        <v>66390</v>
      </c>
      <c r="C10" s="151"/>
      <c r="D10" s="15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5.75" customHeight="1" x14ac:dyDescent="0.25">
      <c r="A11" s="159" t="s">
        <v>207</v>
      </c>
      <c r="B11" s="154">
        <f>B10/1.15</f>
        <v>57730.434782608703</v>
      </c>
      <c r="C11" s="151"/>
      <c r="D11" s="15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5.75" customHeight="1" x14ac:dyDescent="0.25">
      <c r="A12" s="159"/>
      <c r="B12" s="154"/>
      <c r="C12" s="160"/>
      <c r="D12" s="16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5.75" customHeight="1" x14ac:dyDescent="0.25">
      <c r="A13" s="161" t="s">
        <v>208</v>
      </c>
      <c r="B13" s="154"/>
      <c r="C13" s="160"/>
      <c r="D13" s="16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7.25" customHeight="1" x14ac:dyDescent="0.25">
      <c r="A14" s="160" t="s">
        <v>209</v>
      </c>
      <c r="B14" s="162">
        <v>24684</v>
      </c>
      <c r="C14" s="160"/>
      <c r="D14" s="16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.75" customHeight="1" x14ac:dyDescent="0.25">
      <c r="A15" s="157" t="s">
        <v>210</v>
      </c>
      <c r="B15" s="158">
        <v>24684</v>
      </c>
      <c r="C15" s="163"/>
      <c r="D15" s="16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5.75" customHeight="1" x14ac:dyDescent="0.25">
      <c r="A16" s="159" t="s">
        <v>211</v>
      </c>
      <c r="B16" s="154">
        <f>B14/1.21</f>
        <v>20400</v>
      </c>
      <c r="C16" s="160"/>
      <c r="D16" s="16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.75" customHeight="1" x14ac:dyDescent="0.25">
      <c r="A17" s="159"/>
      <c r="B17" s="154"/>
      <c r="C17" s="160"/>
      <c r="D17" s="16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 customHeight="1" x14ac:dyDescent="0.25">
      <c r="A18" s="161" t="s">
        <v>212</v>
      </c>
      <c r="B18" s="154"/>
      <c r="C18" s="160"/>
      <c r="D18" s="16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.75" customHeight="1" x14ac:dyDescent="0.25">
      <c r="A19" s="155" t="s">
        <v>213</v>
      </c>
      <c r="B19" s="156">
        <v>1936</v>
      </c>
      <c r="C19" s="160"/>
      <c r="D19" s="16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5.75" customHeight="1" x14ac:dyDescent="0.25">
      <c r="A20" s="160" t="s">
        <v>214</v>
      </c>
      <c r="B20" s="162">
        <v>2904</v>
      </c>
      <c r="C20" s="160"/>
      <c r="D20" s="16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5.75" customHeight="1" x14ac:dyDescent="0.25">
      <c r="A21" s="157" t="s">
        <v>210</v>
      </c>
      <c r="B21" s="158">
        <v>4840</v>
      </c>
      <c r="C21" s="160"/>
      <c r="D21" s="16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.75" customHeight="1" x14ac:dyDescent="0.25">
      <c r="A22" s="159" t="s">
        <v>211</v>
      </c>
      <c r="B22" s="154">
        <f>AVERAGE(B21/1.21)</f>
        <v>4000</v>
      </c>
      <c r="C22" s="160"/>
      <c r="D22" s="16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5.75" customHeight="1" x14ac:dyDescent="0.25">
      <c r="A23" s="159"/>
      <c r="B23" s="154"/>
      <c r="C23" s="160"/>
      <c r="D23" s="16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.75" customHeight="1" x14ac:dyDescent="0.25">
      <c r="A24" s="153" t="s">
        <v>215</v>
      </c>
      <c r="B24" s="154"/>
      <c r="C24" s="160"/>
      <c r="D24" s="16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5.75" customHeight="1" x14ac:dyDescent="0.25">
      <c r="A25" s="155" t="s">
        <v>216</v>
      </c>
      <c r="B25" s="156">
        <v>1260</v>
      </c>
      <c r="C25" s="160"/>
      <c r="D25" s="16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5.75" customHeight="1" x14ac:dyDescent="0.25">
      <c r="A26" s="155" t="s">
        <v>217</v>
      </c>
      <c r="B26" s="156">
        <v>750</v>
      </c>
      <c r="C26" s="160"/>
      <c r="D26" s="16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5.75" customHeight="1" x14ac:dyDescent="0.25">
      <c r="A27" s="157" t="s">
        <v>218</v>
      </c>
      <c r="B27" s="158">
        <v>2010</v>
      </c>
      <c r="C27" s="160"/>
      <c r="D27" s="16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.75" customHeight="1" x14ac:dyDescent="0.25">
      <c r="A28" s="159" t="s">
        <v>219</v>
      </c>
      <c r="B28" s="154">
        <f>B27/1.15</f>
        <v>1747.826086956522</v>
      </c>
      <c r="C28" s="160"/>
      <c r="D28" s="16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5.75" customHeight="1" x14ac:dyDescent="0.25">
      <c r="A29" s="159"/>
      <c r="B29" s="154"/>
      <c r="C29" s="160"/>
      <c r="D29" s="16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5.75" customHeight="1" x14ac:dyDescent="0.25">
      <c r="A30" s="164" t="s">
        <v>220</v>
      </c>
      <c r="B30" s="160"/>
      <c r="C30" s="160"/>
      <c r="D30" s="16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 x14ac:dyDescent="0.25">
      <c r="A31" s="155" t="s">
        <v>221</v>
      </c>
      <c r="B31" s="162">
        <v>285335</v>
      </c>
      <c r="C31" s="160"/>
      <c r="D31" s="16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 x14ac:dyDescent="0.25">
      <c r="A32" s="155" t="s">
        <v>222</v>
      </c>
      <c r="B32" s="162">
        <v>33495</v>
      </c>
      <c r="C32" s="160"/>
      <c r="D32" s="16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5.75" customHeight="1" x14ac:dyDescent="0.25">
      <c r="A33" s="165" t="s">
        <v>223</v>
      </c>
      <c r="B33" s="158">
        <v>318830</v>
      </c>
      <c r="C33" s="160"/>
      <c r="D33" s="16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5.75" customHeight="1" x14ac:dyDescent="0.25">
      <c r="A34" s="166" t="s">
        <v>224</v>
      </c>
      <c r="B34" s="154">
        <v>275807</v>
      </c>
      <c r="C34" s="160"/>
      <c r="D34" s="16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 x14ac:dyDescent="0.25">
      <c r="A35" s="164"/>
      <c r="B35" s="160"/>
      <c r="C35" s="160"/>
      <c r="D35" s="16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 x14ac:dyDescent="0.25">
      <c r="A36" s="160"/>
      <c r="B36" s="16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 x14ac:dyDescent="0.3">
      <c r="A37" s="167" t="s">
        <v>225</v>
      </c>
      <c r="B37" s="168">
        <f t="shared" ref="B37:B38" si="0">B10+B15+B21+B27+B33</f>
        <v>416754</v>
      </c>
      <c r="C37" s="169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5.75" customHeight="1" x14ac:dyDescent="0.25">
      <c r="A38" s="170" t="s">
        <v>226</v>
      </c>
      <c r="B38" s="171">
        <f t="shared" si="0"/>
        <v>359685.26086956525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5.75" customHeight="1" x14ac:dyDescent="0.25">
      <c r="A39" s="170"/>
      <c r="B39" s="17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5.75" customHeight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5.75" customHeight="1" x14ac:dyDescent="0.25">
      <c r="A41" s="172" t="s">
        <v>227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5.75" customHeight="1" x14ac:dyDescent="0.25">
      <c r="A42" s="173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 x14ac:dyDescent="0.25">
      <c r="A43" s="173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.75" customHeight="1" x14ac:dyDescent="0.25">
      <c r="A44" s="173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5.75" customHeight="1" x14ac:dyDescent="0.25">
      <c r="A45" s="173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5.75" customHeight="1" x14ac:dyDescent="0.25">
      <c r="A46" s="173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5.75" customHeight="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.75" customHeight="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.75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.75" customHeight="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5.75" customHeight="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5.75" customHeight="1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5.7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5.7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5.7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5.75" customHeight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5.75" customHeight="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5.75" customHeigh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5.7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5.75" customHeight="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5.75" customHeigh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5.75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.75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5.75" customHeight="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5.75" customHeight="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5.7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5.75" customHeigh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5.75" customHeight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5.75" customHeight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5.7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5.75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5.75" customHeigh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5.75" customHeigh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5.75" customHeigh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5.75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5.75" customHeight="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5.75" customHeigh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5.75" customHeight="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5.75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5.75" customHeigh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5.75" customHeigh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5.75" customHeight="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.75" customHeigh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5.75" customHeight="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5.75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5.75" customHeight="1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5.75" customHeight="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5.75" customHeight="1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5.75" customHeight="1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5.75" customHeight="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5.75" customHeight="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5.75" customHeight="1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5.75" customHeight="1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5.75" customHeight="1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5.75" customHeight="1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5.75" customHeight="1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5.75" customHeight="1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5.7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5.75" customHeight="1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5.75" customHeight="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5.75" customHeight="1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5.75" customHeight="1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5.75" customHeight="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5.75" customHeight="1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5.75" customHeight="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5.75" customHeight="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5.75" customHeight="1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5.75" customHeight="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5.75" customHeight="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5.75" customHeight="1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5.75" customHeight="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5.75" customHeight="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5.75" customHeight="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5.75" customHeight="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5.75" customHeigh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5.75" customHeight="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5.75" customHeight="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5.75" customHeight="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5.75" customHeight="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5.75" customHeigh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5.75" customHeight="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5.75" customHeight="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5.75" customHeight="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5.75" customHeight="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5.75" customHeight="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5.75" customHeight="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5.75" customHeight="1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5.75" customHeight="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5.75" customHeight="1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5.75" customHeight="1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5.75" customHeight="1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5.75" customHeight="1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5.75" customHeight="1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5.75" customHeight="1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5.75" customHeight="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5.75" customHeight="1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5.75" customHeight="1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5.75" customHeight="1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5.75" customHeight="1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5.75" customHeight="1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5.75" customHeight="1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5.75" customHeight="1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5.75" customHeight="1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5.75" customHeight="1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5.75" customHeight="1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5.75" customHeight="1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5.75" customHeight="1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5.75" customHeight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5.75" customHeight="1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5.75" customHeight="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5.75" customHeight="1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5.75" customHeight="1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5.75" customHeight="1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5.75" customHeight="1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5.75" customHeight="1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5.75" customHeight="1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5.75" customHeight="1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5.75" customHeight="1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5.75" customHeight="1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5.75" customHeight="1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5.75" customHeight="1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5.75" customHeight="1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5.75" customHeight="1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5.75" customHeight="1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5.75" customHeight="1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5.75" customHeight="1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5.75" customHeight="1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5.75" customHeight="1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5.75" customHeight="1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5.75" customHeight="1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5.75" customHeight="1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5.75" customHeight="1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5.75" customHeight="1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5.75" customHeight="1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5.75" customHeight="1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5.75" customHeight="1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5.75" customHeight="1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5.75" customHeight="1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5.75" customHeight="1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5.75" customHeight="1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5.75" customHeight="1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5.75" customHeight="1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5.75" customHeight="1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5.75" customHeight="1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5.75" customHeight="1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5.75" customHeight="1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5.75" customHeight="1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5.75" customHeight="1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5.75" customHeight="1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5.75" customHeight="1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5.75" customHeight="1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5.75" customHeight="1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5.75" customHeight="1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5.75" customHeight="1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5.75" customHeight="1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5.75" customHeight="1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5.75" customHeight="1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5.75" customHeight="1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5.75" customHeight="1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5.75" customHeight="1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5.75" customHeight="1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5.75" customHeight="1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5.75" customHeight="1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5.75" customHeight="1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5.75" customHeight="1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5.75" customHeight="1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5.75" customHeight="1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5.75" customHeight="1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2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2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2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2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2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2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2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2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2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2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2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2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2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2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2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2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2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2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2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2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2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2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2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2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2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2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2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2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2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2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2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2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2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2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2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2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2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2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2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2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2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2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2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2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2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2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2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2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2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2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2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2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2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2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2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2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2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2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2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2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2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2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2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2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2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2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2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2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2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2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2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2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2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2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2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2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2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2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2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2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2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2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2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2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2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2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2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2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2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2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2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2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2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2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2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2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2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2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2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2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2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2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2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2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2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2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2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2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2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2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2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2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2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2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2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2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2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2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2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2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2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2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2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2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2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2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2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2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2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2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2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2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2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2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2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2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2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2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2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2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2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2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2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2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2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2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2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2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2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2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2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2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2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2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2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2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2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2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2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2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2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2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2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2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2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2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2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2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2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2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2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2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2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2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2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2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2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2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2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2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2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2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2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2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2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2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2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2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2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2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2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2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2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2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2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2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2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2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2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2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2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2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2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2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2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2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2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2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2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2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2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2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2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2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2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2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2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2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2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2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2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2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2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2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2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2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2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2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2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2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2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2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2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2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2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2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2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2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2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2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2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2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2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2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2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2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2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2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2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2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2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2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2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2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2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2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2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2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2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2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2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2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2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2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2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2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2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2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2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2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2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2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2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2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2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2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2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2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2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2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2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2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2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2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2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2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2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2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2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2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2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2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2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2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2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2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2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2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2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2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2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2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2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2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2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2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2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2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2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2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2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2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2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2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2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2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2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2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2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2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2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2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2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2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2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2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2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2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2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2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2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2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2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2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2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2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2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2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2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2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2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2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2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2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2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2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2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2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2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2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2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2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2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2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2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2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2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2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2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2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2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2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2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2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2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2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2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2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2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2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2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2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2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2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2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2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2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2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2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2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2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2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2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2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2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2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2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2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2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2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2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2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2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2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2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2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2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2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2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2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2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2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2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2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2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2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2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2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2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2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2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2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2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2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2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2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2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2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2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2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2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2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2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2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2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2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2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2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2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2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2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2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2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2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2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2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2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2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2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2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2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2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2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2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2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2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2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2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2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2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2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2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2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2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2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2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2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2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2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2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2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2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2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2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2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2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2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2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2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2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2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2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2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2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2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2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2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2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2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2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2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2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2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2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2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2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2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2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2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2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2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2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2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2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2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2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2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2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2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2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2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2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2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2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2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2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2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2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2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2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2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2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2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2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2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2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2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2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2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2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2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2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2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2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2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2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2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2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2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2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2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2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2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2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2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2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2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2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2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2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2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2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2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2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2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2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2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2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2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2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2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2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2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2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2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2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2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2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2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2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2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2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 x14ac:dyDescent="0.2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 x14ac:dyDescent="0.2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ageMargins left="0.7" right="0.84375" top="0.78740157499999996" bottom="0.78740157499999996" header="0" footer="0"/>
  <pageSetup paperSize="9" orientation="portrait"/>
  <headerFooter>
    <oddHeader>&amp;RVypracovala: Pavlína Rouhová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E14" sqref="E14"/>
    </sheetView>
  </sheetViews>
  <sheetFormatPr defaultColWidth="12.625" defaultRowHeight="15" customHeight="1" x14ac:dyDescent="0.2"/>
  <cols>
    <col min="1" max="6" width="8" customWidth="1"/>
    <col min="7" max="26" width="7.625" customWidth="1"/>
    <col min="27" max="16384" width="12.625" style="179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"/>
      <c r="B2" s="33" t="s">
        <v>49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 t="s">
        <v>228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 t="s">
        <v>229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 t="s">
        <v>230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>
        <f>3/12</f>
        <v>0.25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 t="s">
        <v>231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>
        <v>1160</v>
      </c>
      <c r="C12" s="1"/>
      <c r="D12" s="1"/>
      <c r="E12" s="223" t="s">
        <v>261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 t="s">
        <v>232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>
        <v>500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 t="s">
        <v>233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>
        <v>30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3D39-6F0B-45C3-9AC0-5BA80111AB76}">
  <sheetPr>
    <pageSetUpPr fitToPage="1"/>
  </sheetPr>
  <dimension ref="A1:Z1000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2" sqref="B12"/>
    </sheetView>
  </sheetViews>
  <sheetFormatPr defaultColWidth="12.625" defaultRowHeight="15" customHeight="1" x14ac:dyDescent="0.2"/>
  <cols>
    <col min="1" max="1" width="5.375" customWidth="1"/>
    <col min="2" max="2" width="19.75" customWidth="1"/>
    <col min="3" max="3" width="21" customWidth="1"/>
    <col min="4" max="7" width="8" customWidth="1"/>
    <col min="8" max="8" width="8.375" customWidth="1"/>
    <col min="9" max="9" width="8" customWidth="1"/>
    <col min="10" max="10" width="39.25" customWidth="1"/>
    <col min="11" max="16" width="8" customWidth="1"/>
    <col min="17" max="17" width="19.375" customWidth="1"/>
    <col min="18" max="22" width="8" customWidth="1"/>
    <col min="23" max="26" width="7.625" customWidth="1"/>
  </cols>
  <sheetData>
    <row r="1" spans="1:26" ht="15.75" x14ac:dyDescent="0.25">
      <c r="A1" s="4" t="s">
        <v>24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x14ac:dyDescent="0.25">
      <c r="A2" s="7"/>
      <c r="B2" s="8"/>
      <c r="C2" s="9" t="s">
        <v>25</v>
      </c>
      <c r="D2" s="10">
        <v>2020</v>
      </c>
      <c r="E2" s="10">
        <v>2021</v>
      </c>
      <c r="F2" s="10">
        <v>2022</v>
      </c>
      <c r="G2" s="10">
        <v>2023</v>
      </c>
      <c r="H2" s="10">
        <v>2024</v>
      </c>
      <c r="I2" s="7"/>
      <c r="J2" s="9" t="s">
        <v>26</v>
      </c>
      <c r="K2" s="10">
        <v>2020</v>
      </c>
      <c r="L2" s="10">
        <v>2021</v>
      </c>
      <c r="M2" s="10">
        <v>2022</v>
      </c>
      <c r="N2" s="10">
        <v>2023</v>
      </c>
      <c r="O2" s="10">
        <v>2024</v>
      </c>
      <c r="P2" s="1"/>
      <c r="Q2" s="9" t="s">
        <v>27</v>
      </c>
      <c r="R2" s="10">
        <v>2020</v>
      </c>
      <c r="S2" s="10">
        <v>2021</v>
      </c>
      <c r="T2" s="10">
        <v>2022</v>
      </c>
      <c r="U2" s="10">
        <v>2023</v>
      </c>
      <c r="V2" s="10">
        <v>2024</v>
      </c>
      <c r="W2" s="7"/>
      <c r="X2" s="7"/>
      <c r="Y2" s="7"/>
      <c r="Z2" s="7"/>
    </row>
    <row r="3" spans="1:26" x14ac:dyDescent="0.25">
      <c r="A3" s="1"/>
      <c r="B3" s="1"/>
      <c r="C3" s="11" t="s">
        <v>28</v>
      </c>
      <c r="D3" s="12"/>
      <c r="E3" s="12"/>
      <c r="F3" s="12"/>
      <c r="G3" s="12"/>
      <c r="H3" s="12"/>
      <c r="I3" s="1"/>
      <c r="J3" s="11" t="s">
        <v>28</v>
      </c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3"/>
      <c r="E4" s="13"/>
      <c r="F4" s="13"/>
      <c r="G4" s="1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 t="s">
        <v>29</v>
      </c>
      <c r="D5" s="13">
        <f t="shared" ref="D5:H5" si="0">D72</f>
        <v>204250</v>
      </c>
      <c r="E5" s="13">
        <f t="shared" si="0"/>
        <v>188000</v>
      </c>
      <c r="F5" s="13">
        <f t="shared" si="0"/>
        <v>200500</v>
      </c>
      <c r="G5" s="13">
        <f t="shared" si="0"/>
        <v>217000</v>
      </c>
      <c r="H5" s="13">
        <f t="shared" si="0"/>
        <v>233500</v>
      </c>
      <c r="I5" s="1"/>
      <c r="J5" s="1" t="s">
        <v>29</v>
      </c>
      <c r="K5" s="13">
        <f t="shared" ref="K5:O5" si="1">D73</f>
        <v>204250</v>
      </c>
      <c r="L5" s="13">
        <f t="shared" si="1"/>
        <v>188000</v>
      </c>
      <c r="M5" s="13">
        <f t="shared" si="1"/>
        <v>200500</v>
      </c>
      <c r="N5" s="13">
        <f t="shared" si="1"/>
        <v>217000</v>
      </c>
      <c r="O5" s="13">
        <f t="shared" si="1"/>
        <v>233500</v>
      </c>
      <c r="P5" s="1"/>
      <c r="Q5" s="1" t="s">
        <v>29</v>
      </c>
      <c r="R5" s="13">
        <f t="shared" ref="R5:V5" si="2">D74</f>
        <v>0</v>
      </c>
      <c r="S5" s="13">
        <f t="shared" si="2"/>
        <v>0</v>
      </c>
      <c r="T5" s="13">
        <f t="shared" si="2"/>
        <v>0</v>
      </c>
      <c r="U5" s="13">
        <f t="shared" si="2"/>
        <v>0</v>
      </c>
      <c r="V5" s="13">
        <f t="shared" si="2"/>
        <v>0</v>
      </c>
      <c r="W5" s="1"/>
      <c r="X5" s="1"/>
      <c r="Y5" s="1"/>
      <c r="Z5" s="1"/>
    </row>
    <row r="6" spans="1:26" x14ac:dyDescent="0.25">
      <c r="A6" s="1"/>
      <c r="B6" s="1"/>
      <c r="C6" s="14" t="s">
        <v>30</v>
      </c>
      <c r="D6" s="15">
        <f t="shared" ref="D6:H6" si="3">D79</f>
        <v>-124700</v>
      </c>
      <c r="E6" s="15">
        <f t="shared" si="3"/>
        <v>-138516</v>
      </c>
      <c r="F6" s="15">
        <f t="shared" si="3"/>
        <v>-141286.32</v>
      </c>
      <c r="G6" s="15">
        <f t="shared" si="3"/>
        <v>-144112.04639999999</v>
      </c>
      <c r="H6" s="15">
        <f t="shared" si="3"/>
        <v>-146994.28732800001</v>
      </c>
      <c r="I6" s="1"/>
      <c r="J6" s="14" t="s">
        <v>30</v>
      </c>
      <c r="K6" s="15">
        <f t="shared" ref="K6:O6" si="4">D80</f>
        <v>-124700</v>
      </c>
      <c r="L6" s="15">
        <f t="shared" si="4"/>
        <v>-138516</v>
      </c>
      <c r="M6" s="15">
        <f t="shared" si="4"/>
        <v>-141286.32</v>
      </c>
      <c r="N6" s="15">
        <f t="shared" si="4"/>
        <v>-144112.04639999999</v>
      </c>
      <c r="O6" s="15">
        <f t="shared" si="4"/>
        <v>-146994.28732800001</v>
      </c>
      <c r="P6" s="1"/>
      <c r="Q6" s="14" t="s">
        <v>30</v>
      </c>
      <c r="R6" s="15">
        <f t="shared" ref="R6:V6" si="5">D81</f>
        <v>0</v>
      </c>
      <c r="S6" s="15">
        <f t="shared" si="5"/>
        <v>0</v>
      </c>
      <c r="T6" s="15">
        <f t="shared" si="5"/>
        <v>0</v>
      </c>
      <c r="U6" s="15">
        <f t="shared" si="5"/>
        <v>0</v>
      </c>
      <c r="V6" s="15">
        <f t="shared" si="5"/>
        <v>0</v>
      </c>
      <c r="W6" s="1"/>
      <c r="X6" s="1"/>
      <c r="Y6" s="1"/>
      <c r="Z6" s="1"/>
    </row>
    <row r="7" spans="1:26" x14ac:dyDescent="0.25">
      <c r="A7" s="1"/>
      <c r="B7" s="1"/>
      <c r="C7" s="16" t="s">
        <v>31</v>
      </c>
      <c r="D7" s="17">
        <f t="shared" ref="D7:H7" si="6">D91</f>
        <v>119819.60496083868</v>
      </c>
      <c r="E7" s="17">
        <f t="shared" si="6"/>
        <v>119819.60496083868</v>
      </c>
      <c r="F7" s="17">
        <f t="shared" si="6"/>
        <v>119819.60496083868</v>
      </c>
      <c r="G7" s="17">
        <f t="shared" si="6"/>
        <v>119819.60496083868</v>
      </c>
      <c r="H7" s="17">
        <f t="shared" si="6"/>
        <v>119819.60496083868</v>
      </c>
      <c r="I7" s="1"/>
      <c r="J7" s="16" t="s">
        <v>31</v>
      </c>
      <c r="K7" s="13">
        <f t="shared" ref="K7:O7" si="7">D92</f>
        <v>85382.612252606719</v>
      </c>
      <c r="L7" s="13">
        <f t="shared" si="7"/>
        <v>85382.612252606719</v>
      </c>
      <c r="M7" s="13">
        <f t="shared" si="7"/>
        <v>85382.612252606719</v>
      </c>
      <c r="N7" s="13">
        <f t="shared" si="7"/>
        <v>85382.612252606719</v>
      </c>
      <c r="O7" s="13">
        <f t="shared" si="7"/>
        <v>85382.612252606719</v>
      </c>
      <c r="P7" s="1"/>
      <c r="Q7" s="1" t="s">
        <v>31</v>
      </c>
      <c r="R7" s="13">
        <f t="shared" ref="R7:V7" si="8">D85+D89</f>
        <v>-34436.992708231963</v>
      </c>
      <c r="S7" s="13">
        <f t="shared" si="8"/>
        <v>-34436.992708231963</v>
      </c>
      <c r="T7" s="13">
        <f t="shared" si="8"/>
        <v>-34436.992708231963</v>
      </c>
      <c r="U7" s="13">
        <f t="shared" si="8"/>
        <v>-34436.992708231963</v>
      </c>
      <c r="V7" s="13">
        <f t="shared" si="8"/>
        <v>-34436.992708231963</v>
      </c>
      <c r="W7" s="1"/>
      <c r="X7" s="1"/>
      <c r="Y7" s="1"/>
      <c r="Z7" s="1"/>
    </row>
    <row r="8" spans="1:26" x14ac:dyDescent="0.25">
      <c r="A8" s="1"/>
      <c r="B8" s="1"/>
      <c r="C8" s="1" t="s">
        <v>32</v>
      </c>
      <c r="D8" s="13">
        <f t="shared" ref="D8:H8" si="9">D101</f>
        <v>758.6776859504098</v>
      </c>
      <c r="E8" s="13">
        <f t="shared" si="9"/>
        <v>773.85123966942047</v>
      </c>
      <c r="F8" s="13">
        <f t="shared" si="9"/>
        <v>789.32826446280887</v>
      </c>
      <c r="G8" s="13">
        <f t="shared" si="9"/>
        <v>805.11482975206673</v>
      </c>
      <c r="H8" s="13">
        <f t="shared" si="9"/>
        <v>821.21712634710639</v>
      </c>
      <c r="I8" s="1"/>
      <c r="J8" s="1" t="s">
        <v>32</v>
      </c>
      <c r="K8" s="13">
        <f t="shared" ref="K8:O8" si="10">D102</f>
        <v>0</v>
      </c>
      <c r="L8" s="13">
        <f t="shared" si="10"/>
        <v>0</v>
      </c>
      <c r="M8" s="13">
        <f t="shared" si="10"/>
        <v>0</v>
      </c>
      <c r="N8" s="13">
        <f t="shared" si="10"/>
        <v>0</v>
      </c>
      <c r="O8" s="13">
        <f t="shared" si="10"/>
        <v>0</v>
      </c>
      <c r="P8" s="1"/>
      <c r="Q8" s="1" t="s">
        <v>32</v>
      </c>
      <c r="R8" s="13">
        <f t="shared" ref="R8:V8" si="11">D95+D99</f>
        <v>-758.67768595041071</v>
      </c>
      <c r="S8" s="13">
        <f t="shared" si="11"/>
        <v>-773.85123966942137</v>
      </c>
      <c r="T8" s="13">
        <f t="shared" si="11"/>
        <v>-789.32826446280978</v>
      </c>
      <c r="U8" s="13">
        <f t="shared" si="11"/>
        <v>-805.11482975206673</v>
      </c>
      <c r="V8" s="13">
        <f t="shared" si="11"/>
        <v>-821.2171263471073</v>
      </c>
      <c r="W8" s="1"/>
      <c r="X8" s="1"/>
      <c r="Y8" s="1"/>
      <c r="Z8" s="1"/>
    </row>
    <row r="9" spans="1:26" x14ac:dyDescent="0.25">
      <c r="A9" s="1"/>
      <c r="B9" s="1"/>
      <c r="C9" s="18" t="s">
        <v>33</v>
      </c>
      <c r="D9" s="19">
        <f t="shared" ref="D9:H9" si="12">D111</f>
        <v>-15000</v>
      </c>
      <c r="E9" s="19">
        <f t="shared" si="12"/>
        <v>-15000</v>
      </c>
      <c r="F9" s="19">
        <f t="shared" si="12"/>
        <v>-15000</v>
      </c>
      <c r="G9" s="19">
        <f t="shared" si="12"/>
        <v>-15000</v>
      </c>
      <c r="H9" s="19">
        <f t="shared" si="12"/>
        <v>-15000</v>
      </c>
      <c r="I9" s="1"/>
      <c r="J9" s="18" t="s">
        <v>33</v>
      </c>
      <c r="K9" s="19">
        <f t="shared" ref="K9:O9" si="13">D112</f>
        <v>-15000</v>
      </c>
      <c r="L9" s="19">
        <f t="shared" si="13"/>
        <v>-15000</v>
      </c>
      <c r="M9" s="19">
        <f t="shared" si="13"/>
        <v>-15000</v>
      </c>
      <c r="N9" s="19">
        <f t="shared" si="13"/>
        <v>-15000</v>
      </c>
      <c r="O9" s="19">
        <f t="shared" si="13"/>
        <v>-15000</v>
      </c>
      <c r="P9" s="1"/>
      <c r="Q9" s="18" t="s">
        <v>33</v>
      </c>
      <c r="R9" s="19">
        <f t="shared" ref="R9:V9" si="14">D105+D109</f>
        <v>0</v>
      </c>
      <c r="S9" s="19">
        <f t="shared" si="14"/>
        <v>0</v>
      </c>
      <c r="T9" s="19">
        <f t="shared" si="14"/>
        <v>0</v>
      </c>
      <c r="U9" s="19">
        <f t="shared" si="14"/>
        <v>0</v>
      </c>
      <c r="V9" s="19">
        <f t="shared" si="14"/>
        <v>0</v>
      </c>
      <c r="W9" s="1"/>
      <c r="X9" s="1"/>
      <c r="Y9" s="1"/>
      <c r="Z9" s="1"/>
    </row>
    <row r="10" spans="1:26" x14ac:dyDescent="0.25">
      <c r="A10" s="1"/>
      <c r="B10" s="1"/>
      <c r="C10" s="18" t="s">
        <v>34</v>
      </c>
      <c r="D10" s="19">
        <f t="shared" ref="D10:H10" si="15">D113</f>
        <v>-14520</v>
      </c>
      <c r="E10" s="19">
        <f t="shared" si="15"/>
        <v>-14520</v>
      </c>
      <c r="F10" s="19">
        <f t="shared" si="15"/>
        <v>-14520</v>
      </c>
      <c r="G10" s="19">
        <f t="shared" si="15"/>
        <v>-14520</v>
      </c>
      <c r="H10" s="19">
        <f t="shared" si="15"/>
        <v>-14520</v>
      </c>
      <c r="I10" s="1"/>
      <c r="J10" s="18" t="s">
        <v>34</v>
      </c>
      <c r="K10" s="19">
        <f t="shared" ref="K10:O10" si="16">D114</f>
        <v>-12000</v>
      </c>
      <c r="L10" s="19">
        <f t="shared" si="16"/>
        <v>-12000</v>
      </c>
      <c r="M10" s="19">
        <f t="shared" si="16"/>
        <v>-12000</v>
      </c>
      <c r="N10" s="19">
        <f t="shared" si="16"/>
        <v>-12000</v>
      </c>
      <c r="O10" s="19">
        <f t="shared" si="16"/>
        <v>-12000</v>
      </c>
      <c r="P10" s="1"/>
      <c r="Q10" s="18" t="s">
        <v>34</v>
      </c>
      <c r="R10" s="19">
        <f t="shared" ref="R10:V10" si="17">D115</f>
        <v>2520</v>
      </c>
      <c r="S10" s="19">
        <f t="shared" si="17"/>
        <v>2520</v>
      </c>
      <c r="T10" s="19">
        <f t="shared" si="17"/>
        <v>2520</v>
      </c>
      <c r="U10" s="19">
        <f t="shared" si="17"/>
        <v>2520</v>
      </c>
      <c r="V10" s="19">
        <f t="shared" si="17"/>
        <v>2520</v>
      </c>
      <c r="W10" s="1"/>
      <c r="X10" s="1"/>
      <c r="Y10" s="1"/>
      <c r="Z10" s="1"/>
    </row>
    <row r="11" spans="1:26" x14ac:dyDescent="0.25">
      <c r="A11" s="1"/>
      <c r="B11" s="1"/>
      <c r="C11" s="20" t="s">
        <v>35</v>
      </c>
      <c r="D11" s="21">
        <f t="shared" ref="D11:H11" si="18">D136</f>
        <v>-50000</v>
      </c>
      <c r="E11" s="21">
        <f t="shared" si="18"/>
        <v>-50000</v>
      </c>
      <c r="F11" s="21">
        <f t="shared" si="18"/>
        <v>-50000</v>
      </c>
      <c r="G11" s="21">
        <f t="shared" si="18"/>
        <v>-50000</v>
      </c>
      <c r="H11" s="21">
        <f t="shared" si="18"/>
        <v>-50000</v>
      </c>
      <c r="I11" s="1"/>
      <c r="J11" s="20" t="s">
        <v>35</v>
      </c>
      <c r="K11" s="21">
        <f t="shared" ref="K11:O11" si="19">D137</f>
        <v>-50000</v>
      </c>
      <c r="L11" s="21">
        <f t="shared" si="19"/>
        <v>-50000</v>
      </c>
      <c r="M11" s="21">
        <f t="shared" si="19"/>
        <v>-50000</v>
      </c>
      <c r="N11" s="21">
        <f t="shared" si="19"/>
        <v>-50000</v>
      </c>
      <c r="O11" s="21">
        <f t="shared" si="19"/>
        <v>-50000</v>
      </c>
      <c r="P11" s="1"/>
      <c r="Q11" s="20" t="s">
        <v>35</v>
      </c>
      <c r="R11" s="21">
        <f t="shared" ref="R11:V11" si="20">D138</f>
        <v>0</v>
      </c>
      <c r="S11" s="21">
        <f t="shared" si="20"/>
        <v>0</v>
      </c>
      <c r="T11" s="21">
        <f t="shared" si="20"/>
        <v>0</v>
      </c>
      <c r="U11" s="21">
        <f t="shared" si="20"/>
        <v>0</v>
      </c>
      <c r="V11" s="21">
        <f t="shared" si="20"/>
        <v>0</v>
      </c>
      <c r="W11" s="1"/>
      <c r="X11" s="1"/>
      <c r="Y11" s="1"/>
      <c r="Z11" s="1"/>
    </row>
    <row r="12" spans="1:26" x14ac:dyDescent="0.25">
      <c r="A12" s="1"/>
      <c r="B12" s="1"/>
      <c r="C12" s="1" t="s">
        <v>36</v>
      </c>
      <c r="D12" s="13">
        <f t="shared" ref="D12:H12" si="21">D124</f>
        <v>-80000</v>
      </c>
      <c r="E12" s="13">
        <f t="shared" si="21"/>
        <v>-81600</v>
      </c>
      <c r="F12" s="13">
        <f t="shared" si="21"/>
        <v>-83232</v>
      </c>
      <c r="G12" s="13">
        <f t="shared" si="21"/>
        <v>-84896.639999999999</v>
      </c>
      <c r="H12" s="13">
        <f t="shared" si="21"/>
        <v>-86594.572799999994</v>
      </c>
      <c r="I12" s="1"/>
      <c r="J12" s="1" t="s">
        <v>36</v>
      </c>
      <c r="K12" s="13">
        <f t="shared" ref="K12:O12" si="22">D125</f>
        <v>-68271.649299317287</v>
      </c>
      <c r="L12" s="13">
        <f t="shared" si="22"/>
        <v>-69637.082285303637</v>
      </c>
      <c r="M12" s="13">
        <f t="shared" si="22"/>
        <v>-71029.823931009712</v>
      </c>
      <c r="N12" s="13">
        <f t="shared" si="22"/>
        <v>-72450.420409629907</v>
      </c>
      <c r="O12" s="13">
        <f t="shared" si="22"/>
        <v>-73899.428817822496</v>
      </c>
      <c r="P12" s="1"/>
      <c r="Q12" s="1" t="s">
        <v>36</v>
      </c>
      <c r="R12" s="13">
        <f t="shared" ref="R12:V12" si="23">D118+D122</f>
        <v>11728.350700682709</v>
      </c>
      <c r="S12" s="13">
        <f t="shared" si="23"/>
        <v>11962.917714696363</v>
      </c>
      <c r="T12" s="13">
        <f t="shared" si="23"/>
        <v>12202.176068990295</v>
      </c>
      <c r="U12" s="13">
        <f t="shared" si="23"/>
        <v>12446.219590370103</v>
      </c>
      <c r="V12" s="13">
        <f t="shared" si="23"/>
        <v>12695.143982177506</v>
      </c>
      <c r="W12" s="1"/>
      <c r="X12" s="1"/>
      <c r="Y12" s="1"/>
      <c r="Z12" s="1"/>
    </row>
    <row r="13" spans="1:26" x14ac:dyDescent="0.25">
      <c r="A13" s="1"/>
      <c r="B13" s="1"/>
      <c r="C13" s="1" t="s">
        <v>37</v>
      </c>
      <c r="D13" s="13">
        <f t="shared" ref="D13:H13" si="24">D134</f>
        <v>-50000</v>
      </c>
      <c r="E13" s="13">
        <f t="shared" si="24"/>
        <v>-51000</v>
      </c>
      <c r="F13" s="13">
        <f t="shared" si="24"/>
        <v>-52020</v>
      </c>
      <c r="G13" s="13">
        <f t="shared" si="24"/>
        <v>-53060.4</v>
      </c>
      <c r="H13" s="13">
        <f t="shared" si="24"/>
        <v>-54121.608</v>
      </c>
      <c r="I13" s="1"/>
      <c r="J13" s="1" t="s">
        <v>37</v>
      </c>
      <c r="K13" s="13">
        <f t="shared" ref="K13:O13" si="25">D135</f>
        <v>-43478.260869565216</v>
      </c>
      <c r="L13" s="13">
        <f t="shared" si="25"/>
        <v>-44347.826086956527</v>
      </c>
      <c r="M13" s="13">
        <f t="shared" si="25"/>
        <v>-45234.782608695656</v>
      </c>
      <c r="N13" s="13">
        <f t="shared" si="25"/>
        <v>-46139.478260869568</v>
      </c>
      <c r="O13" s="13">
        <f t="shared" si="25"/>
        <v>-47062.267826086958</v>
      </c>
      <c r="P13" s="1"/>
      <c r="Q13" s="1" t="s">
        <v>37</v>
      </c>
      <c r="R13" s="13">
        <f t="shared" ref="R13:V13" si="26">D128+D132</f>
        <v>6521.7391304347802</v>
      </c>
      <c r="S13" s="13">
        <f t="shared" si="26"/>
        <v>6652.1739130434726</v>
      </c>
      <c r="T13" s="13">
        <f t="shared" si="26"/>
        <v>6785.2173913043443</v>
      </c>
      <c r="U13" s="13">
        <f t="shared" si="26"/>
        <v>6920.9217391304337</v>
      </c>
      <c r="V13" s="13">
        <f t="shared" si="26"/>
        <v>7059.3401739130422</v>
      </c>
      <c r="W13" s="1"/>
      <c r="X13" s="1"/>
      <c r="Y13" s="1"/>
      <c r="Z13" s="1"/>
    </row>
    <row r="14" spans="1:26" x14ac:dyDescent="0.25">
      <c r="A14" s="1"/>
      <c r="B14" s="1"/>
      <c r="C14" s="1" t="s">
        <v>38</v>
      </c>
      <c r="D14" s="13">
        <f t="shared" ref="D14:H14" si="27">D139</f>
        <v>-57500</v>
      </c>
      <c r="E14" s="13">
        <f t="shared" si="27"/>
        <v>-42228</v>
      </c>
      <c r="F14" s="13">
        <f t="shared" si="27"/>
        <v>-43072.56</v>
      </c>
      <c r="G14" s="13">
        <f t="shared" si="27"/>
        <v>-43934.011200000008</v>
      </c>
      <c r="H14" s="13">
        <f t="shared" si="27"/>
        <v>-44812.691424000004</v>
      </c>
      <c r="I14" s="1"/>
      <c r="J14" s="1" t="s">
        <v>38</v>
      </c>
      <c r="K14" s="13">
        <f t="shared" ref="K14:O14" si="28">D140</f>
        <v>-50000</v>
      </c>
      <c r="L14" s="13">
        <f t="shared" si="28"/>
        <v>-36720</v>
      </c>
      <c r="M14" s="13">
        <f t="shared" si="28"/>
        <v>-37454.400000000001</v>
      </c>
      <c r="N14" s="13">
        <f t="shared" si="28"/>
        <v>-38203.488000000005</v>
      </c>
      <c r="O14" s="13">
        <f t="shared" si="28"/>
        <v>-38967.557760000003</v>
      </c>
      <c r="P14" s="1"/>
      <c r="Q14" s="1" t="s">
        <v>38</v>
      </c>
      <c r="R14" s="13">
        <f t="shared" ref="R14:V14" si="29">D141</f>
        <v>7500</v>
      </c>
      <c r="S14" s="13">
        <f t="shared" si="29"/>
        <v>5508</v>
      </c>
      <c r="T14" s="13">
        <f t="shared" si="29"/>
        <v>5618.16</v>
      </c>
      <c r="U14" s="13">
        <f t="shared" si="29"/>
        <v>5730.5232000000005</v>
      </c>
      <c r="V14" s="13">
        <f t="shared" si="29"/>
        <v>5845.133664</v>
      </c>
      <c r="W14" s="1"/>
      <c r="X14" s="1"/>
      <c r="Y14" s="1"/>
      <c r="Z14" s="1"/>
    </row>
    <row r="15" spans="1:26" x14ac:dyDescent="0.25">
      <c r="A15" s="1"/>
      <c r="B15" s="1"/>
      <c r="C15" s="1" t="s">
        <v>39</v>
      </c>
      <c r="D15" s="13">
        <f t="shared" ref="D15:H15" si="30">D145</f>
        <v>0</v>
      </c>
      <c r="E15" s="13">
        <f t="shared" si="30"/>
        <v>0</v>
      </c>
      <c r="F15" s="13">
        <f t="shared" si="30"/>
        <v>0</v>
      </c>
      <c r="G15" s="13">
        <f t="shared" si="30"/>
        <v>0</v>
      </c>
      <c r="H15" s="13">
        <f t="shared" si="30"/>
        <v>0</v>
      </c>
      <c r="I15" s="1"/>
      <c r="J15" s="1" t="s">
        <v>39</v>
      </c>
      <c r="K15" s="22">
        <f t="shared" ref="K15:O15" si="31">D146</f>
        <v>0</v>
      </c>
      <c r="L15" s="22">
        <f t="shared" si="31"/>
        <v>0</v>
      </c>
      <c r="M15" s="22">
        <f t="shared" si="31"/>
        <v>0</v>
      </c>
      <c r="N15" s="22">
        <f t="shared" si="31"/>
        <v>0</v>
      </c>
      <c r="O15" s="22">
        <f t="shared" si="31"/>
        <v>0</v>
      </c>
      <c r="P15" s="1"/>
      <c r="Q15" s="1" t="s">
        <v>39</v>
      </c>
      <c r="R15" s="22">
        <f t="shared" ref="R15:V15" si="32">D147</f>
        <v>0</v>
      </c>
      <c r="S15" s="22">
        <f t="shared" si="32"/>
        <v>0</v>
      </c>
      <c r="T15" s="22">
        <f t="shared" si="32"/>
        <v>0</v>
      </c>
      <c r="U15" s="22">
        <f t="shared" si="32"/>
        <v>0</v>
      </c>
      <c r="V15" s="22">
        <f t="shared" si="32"/>
        <v>0</v>
      </c>
      <c r="W15" s="1"/>
      <c r="X15" s="1"/>
      <c r="Y15" s="1"/>
      <c r="Z15" s="1"/>
    </row>
    <row r="16" spans="1:26" x14ac:dyDescent="0.25">
      <c r="A16" s="1"/>
      <c r="B16" s="1"/>
      <c r="C16" s="1" t="s">
        <v>40</v>
      </c>
      <c r="D16" s="13">
        <f t="shared" ref="D16:H16" si="33">D142</f>
        <v>0</v>
      </c>
      <c r="E16" s="13">
        <f t="shared" si="33"/>
        <v>0</v>
      </c>
      <c r="F16" s="13">
        <f t="shared" si="33"/>
        <v>0</v>
      </c>
      <c r="G16" s="13">
        <f t="shared" si="33"/>
        <v>0</v>
      </c>
      <c r="H16" s="13">
        <f t="shared" si="33"/>
        <v>0</v>
      </c>
      <c r="I16" s="1"/>
      <c r="J16" s="1" t="s">
        <v>40</v>
      </c>
      <c r="K16" s="22">
        <f t="shared" ref="K16:O16" si="34">D143</f>
        <v>0</v>
      </c>
      <c r="L16" s="22">
        <f t="shared" si="34"/>
        <v>0</v>
      </c>
      <c r="M16" s="22">
        <f t="shared" si="34"/>
        <v>0</v>
      </c>
      <c r="N16" s="22">
        <f t="shared" si="34"/>
        <v>0</v>
      </c>
      <c r="O16" s="22">
        <f t="shared" si="34"/>
        <v>0</v>
      </c>
      <c r="P16" s="1"/>
      <c r="Q16" s="1" t="s">
        <v>40</v>
      </c>
      <c r="R16" s="22">
        <f t="shared" ref="R16:V16" si="35">D144</f>
        <v>0</v>
      </c>
      <c r="S16" s="22">
        <f t="shared" si="35"/>
        <v>0</v>
      </c>
      <c r="T16" s="22">
        <f t="shared" si="35"/>
        <v>0</v>
      </c>
      <c r="U16" s="22">
        <f t="shared" si="35"/>
        <v>0</v>
      </c>
      <c r="V16" s="22">
        <f t="shared" si="35"/>
        <v>0</v>
      </c>
      <c r="W16" s="1"/>
      <c r="X16" s="1"/>
      <c r="Y16" s="1"/>
      <c r="Z16" s="1"/>
    </row>
    <row r="17" spans="1:26" x14ac:dyDescent="0.25">
      <c r="A17" s="1"/>
      <c r="B17" s="1"/>
      <c r="C17" s="1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1" t="s">
        <v>41</v>
      </c>
      <c r="D18" s="23">
        <f t="shared" ref="D18:H18" si="36">SUM(D5:D16)</f>
        <v>-66891.717353210901</v>
      </c>
      <c r="E18" s="23">
        <f t="shared" si="36"/>
        <v>-84270.54379949189</v>
      </c>
      <c r="F18" s="23">
        <f t="shared" si="36"/>
        <v>-78021.946774698503</v>
      </c>
      <c r="G18" s="23">
        <f t="shared" si="36"/>
        <v>-67898.377809409256</v>
      </c>
      <c r="H18" s="23">
        <f t="shared" si="36"/>
        <v>-57902.337464814227</v>
      </c>
      <c r="I18" s="1"/>
      <c r="J18" s="11" t="s">
        <v>41</v>
      </c>
      <c r="K18" s="23">
        <f t="shared" ref="K18:O18" si="37">SUM(K5:K16)</f>
        <v>-73817.297916275784</v>
      </c>
      <c r="L18" s="23">
        <f t="shared" si="37"/>
        <v>-92838.296119653445</v>
      </c>
      <c r="M18" s="23">
        <f t="shared" si="37"/>
        <v>-86122.714287098657</v>
      </c>
      <c r="N18" s="23">
        <f t="shared" si="37"/>
        <v>-75522.82081789276</v>
      </c>
      <c r="O18" s="23">
        <f t="shared" si="37"/>
        <v>-65040.929479302744</v>
      </c>
      <c r="P18" s="1"/>
      <c r="Q18" s="11" t="s">
        <v>41</v>
      </c>
      <c r="R18" s="23">
        <f t="shared" ref="R18:V18" si="38">SUM(R5:R16)</f>
        <v>-6925.5805630648829</v>
      </c>
      <c r="S18" s="23">
        <f t="shared" si="38"/>
        <v>-8567.7523201615477</v>
      </c>
      <c r="T18" s="23">
        <f t="shared" si="38"/>
        <v>-8100.7675124001362</v>
      </c>
      <c r="U18" s="23">
        <f t="shared" si="38"/>
        <v>-7624.4430084834958</v>
      </c>
      <c r="V18" s="23">
        <f t="shared" si="38"/>
        <v>-7138.5920144885249</v>
      </c>
      <c r="W18" s="1"/>
      <c r="X18" s="1"/>
      <c r="Y18" s="1"/>
      <c r="Z18" s="1"/>
    </row>
    <row r="19" spans="1:26" x14ac:dyDescent="0.25">
      <c r="A19" s="1"/>
      <c r="B19" s="1"/>
      <c r="C19" s="24"/>
      <c r="D19" s="25"/>
      <c r="E19" s="25"/>
      <c r="F19" s="25"/>
      <c r="G19" s="25"/>
      <c r="H19" s="25"/>
      <c r="I19" s="1"/>
      <c r="J19" s="24"/>
      <c r="K19" s="25"/>
      <c r="L19" s="25"/>
      <c r="M19" s="25"/>
      <c r="N19" s="25"/>
      <c r="O19" s="25"/>
      <c r="P19" s="1"/>
      <c r="Q19" s="24"/>
      <c r="R19" s="25"/>
      <c r="S19" s="25"/>
      <c r="T19" s="25"/>
      <c r="U19" s="25"/>
      <c r="V19" s="25"/>
      <c r="W19" s="1"/>
      <c r="X19" s="1"/>
      <c r="Y19" s="1"/>
      <c r="Z19" s="1"/>
    </row>
    <row r="20" spans="1:26" x14ac:dyDescent="0.25">
      <c r="A20" s="1"/>
      <c r="B20" s="1"/>
      <c r="C20" s="1" t="s">
        <v>42</v>
      </c>
      <c r="D20" s="13">
        <f t="shared" ref="D20:H20" si="39">D148</f>
        <v>90000</v>
      </c>
      <c r="E20" s="13">
        <f t="shared" si="39"/>
        <v>0</v>
      </c>
      <c r="F20" s="13">
        <f t="shared" si="39"/>
        <v>0</v>
      </c>
      <c r="G20" s="13">
        <f t="shared" si="39"/>
        <v>0</v>
      </c>
      <c r="H20" s="13">
        <f t="shared" si="39"/>
        <v>0</v>
      </c>
      <c r="I20" s="1"/>
      <c r="J20" s="1" t="s">
        <v>42</v>
      </c>
      <c r="K20" s="13">
        <f t="shared" ref="K20:O20" si="40">D148</f>
        <v>90000</v>
      </c>
      <c r="L20" s="13">
        <f t="shared" si="40"/>
        <v>0</v>
      </c>
      <c r="M20" s="13">
        <f t="shared" si="40"/>
        <v>0</v>
      </c>
      <c r="N20" s="13">
        <f t="shared" si="40"/>
        <v>0</v>
      </c>
      <c r="O20" s="13">
        <f t="shared" si="40"/>
        <v>0</v>
      </c>
      <c r="P20" s="1"/>
      <c r="Q20" s="1"/>
      <c r="R20" s="22"/>
      <c r="S20" s="22"/>
      <c r="T20" s="22"/>
      <c r="U20" s="22"/>
      <c r="V20" s="22"/>
      <c r="W20" s="1"/>
      <c r="X20" s="1"/>
      <c r="Y20" s="1"/>
      <c r="Z20" s="1"/>
    </row>
    <row r="21" spans="1:26" ht="15.75" customHeight="1" x14ac:dyDescent="0.25">
      <c r="A21" s="1"/>
      <c r="B21" s="1"/>
      <c r="C21" s="24"/>
      <c r="D21" s="25"/>
      <c r="E21" s="25"/>
      <c r="F21" s="25"/>
      <c r="G21" s="25"/>
      <c r="H21" s="25"/>
      <c r="I21" s="1"/>
      <c r="J21" s="24"/>
      <c r="K21" s="25"/>
      <c r="L21" s="25"/>
      <c r="M21" s="25"/>
      <c r="N21" s="25"/>
      <c r="O21" s="25"/>
      <c r="P21" s="1"/>
      <c r="Q21" s="24"/>
      <c r="R21" s="25"/>
      <c r="S21" s="25"/>
      <c r="T21" s="25"/>
      <c r="U21" s="25"/>
      <c r="V21" s="25"/>
      <c r="W21" s="1"/>
      <c r="X21" s="1"/>
      <c r="Y21" s="1"/>
      <c r="Z21" s="1"/>
    </row>
    <row r="22" spans="1:26" ht="15.75" customHeight="1" x14ac:dyDescent="0.25">
      <c r="A22" s="1"/>
      <c r="B22" s="26">
        <v>0</v>
      </c>
      <c r="C22" s="1" t="s">
        <v>43</v>
      </c>
      <c r="D22" s="13">
        <f t="shared" ref="D22:H22" si="41">K22</f>
        <v>0</v>
      </c>
      <c r="E22" s="13">
        <f t="shared" si="41"/>
        <v>0</v>
      </c>
      <c r="F22" s="13">
        <f t="shared" si="41"/>
        <v>0</v>
      </c>
      <c r="G22" s="13">
        <f t="shared" si="41"/>
        <v>0</v>
      </c>
      <c r="H22" s="13">
        <f t="shared" si="41"/>
        <v>0</v>
      </c>
      <c r="I22" s="1"/>
      <c r="J22" s="1" t="s">
        <v>43</v>
      </c>
      <c r="K22" s="13">
        <f t="shared" ref="K22:O22" si="42">-MAX(0,K18)*$B$22</f>
        <v>0</v>
      </c>
      <c r="L22" s="13">
        <f t="shared" si="42"/>
        <v>0</v>
      </c>
      <c r="M22" s="13">
        <f t="shared" si="42"/>
        <v>0</v>
      </c>
      <c r="N22" s="13">
        <f t="shared" si="42"/>
        <v>0</v>
      </c>
      <c r="O22" s="13">
        <f t="shared" si="42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7"/>
      <c r="C23" s="1"/>
      <c r="D23" s="13"/>
      <c r="E23" s="13"/>
      <c r="F23" s="13"/>
      <c r="G23" s="13"/>
      <c r="H23" s="13"/>
      <c r="I23" s="1"/>
      <c r="J23" s="1"/>
      <c r="K23" s="13"/>
      <c r="L23" s="13"/>
      <c r="M23" s="13"/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7"/>
      <c r="C24" s="11" t="s">
        <v>44</v>
      </c>
      <c r="D24" s="23">
        <f>D18+D20+D22</f>
        <v>23108.282646789099</v>
      </c>
      <c r="E24" s="23">
        <f t="shared" ref="E24:H24" si="43">E18+E22</f>
        <v>-84270.54379949189</v>
      </c>
      <c r="F24" s="23">
        <f t="shared" si="43"/>
        <v>-78021.946774698503</v>
      </c>
      <c r="G24" s="23">
        <f t="shared" si="43"/>
        <v>-67898.377809409256</v>
      </c>
      <c r="H24" s="23">
        <f t="shared" si="43"/>
        <v>-57902.337464814227</v>
      </c>
      <c r="I24" s="1"/>
      <c r="J24" s="11" t="s">
        <v>44</v>
      </c>
      <c r="K24" s="23">
        <f t="shared" ref="K24:O24" si="44">K18+K20+K22</f>
        <v>16182.702083724216</v>
      </c>
      <c r="L24" s="23">
        <f t="shared" si="44"/>
        <v>-92838.296119653445</v>
      </c>
      <c r="M24" s="23">
        <f t="shared" si="44"/>
        <v>-86122.714287098657</v>
      </c>
      <c r="N24" s="23">
        <f t="shared" si="44"/>
        <v>-75522.82081789276</v>
      </c>
      <c r="O24" s="23">
        <f t="shared" si="44"/>
        <v>-65040.929479302744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3"/>
      <c r="E25" s="13"/>
      <c r="F25" s="13"/>
      <c r="G25" s="13"/>
      <c r="H25" s="13"/>
      <c r="I25" s="1"/>
      <c r="J25" s="1"/>
      <c r="K25" s="2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8" t="s">
        <v>45</v>
      </c>
      <c r="D26" s="29"/>
      <c r="E26" s="29"/>
      <c r="F26" s="29"/>
      <c r="G26" s="29"/>
      <c r="H26" s="29"/>
      <c r="I26" s="1"/>
      <c r="J26" s="28" t="s">
        <v>45</v>
      </c>
      <c r="K26" s="29"/>
      <c r="L26" s="29"/>
      <c r="M26" s="29"/>
      <c r="N26" s="29"/>
      <c r="O26" s="2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3"/>
      <c r="E27" s="13"/>
      <c r="F27" s="13"/>
      <c r="G27" s="13"/>
      <c r="H27" s="13"/>
      <c r="I27" s="1"/>
      <c r="J27" s="1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 t="s">
        <v>46</v>
      </c>
      <c r="B28" s="6"/>
      <c r="C28" s="6"/>
      <c r="D28" s="30"/>
      <c r="E28" s="30"/>
      <c r="F28" s="30"/>
      <c r="G28" s="30"/>
      <c r="H28" s="30"/>
      <c r="I28" s="6"/>
      <c r="J28" s="6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1"/>
      <c r="B29" s="1"/>
      <c r="C29" s="1" t="s">
        <v>47</v>
      </c>
      <c r="D29" s="13">
        <f t="shared" ref="D29:H29" si="45">D53+D65+D69+D70+D116+D134+D139</f>
        <v>13250</v>
      </c>
      <c r="E29" s="13">
        <f t="shared" si="45"/>
        <v>6672</v>
      </c>
      <c r="F29" s="13">
        <f t="shared" si="45"/>
        <v>10695.440000000002</v>
      </c>
      <c r="G29" s="13">
        <f t="shared" si="45"/>
        <v>14669.348799999985</v>
      </c>
      <c r="H29" s="13">
        <f t="shared" si="45"/>
        <v>18592.735775999994</v>
      </c>
      <c r="I29" s="1"/>
      <c r="J29" s="1" t="s">
        <v>47</v>
      </c>
      <c r="K29" s="13">
        <f t="shared" ref="K29:O29" si="46">(D53+D65+D69+D70)/(1+$B$74)+D117+D135+D140</f>
        <v>32478.350700682713</v>
      </c>
      <c r="L29" s="13">
        <f t="shared" si="46"/>
        <v>24142.917714696363</v>
      </c>
      <c r="M29" s="13">
        <f t="shared" si="46"/>
        <v>28515.776068990286</v>
      </c>
      <c r="N29" s="13">
        <f t="shared" si="46"/>
        <v>32846.091590370088</v>
      </c>
      <c r="O29" s="13">
        <f t="shared" si="46"/>
        <v>37133.013422177501</v>
      </c>
      <c r="P29" s="13"/>
      <c r="Q29" s="1" t="s">
        <v>47</v>
      </c>
      <c r="R29" s="13">
        <f t="shared" ref="R29:V29" si="47">(D53+D65+D69+D70)*$B$74+D118+D128+D132+D141</f>
        <v>19228.350700682713</v>
      </c>
      <c r="S29" s="13">
        <f t="shared" si="47"/>
        <v>17470.917714696363</v>
      </c>
      <c r="T29" s="13">
        <f t="shared" si="47"/>
        <v>17820.336068990295</v>
      </c>
      <c r="U29" s="13">
        <f t="shared" si="47"/>
        <v>18176.742790370103</v>
      </c>
      <c r="V29" s="13">
        <f t="shared" si="47"/>
        <v>18540.277646177507</v>
      </c>
      <c r="W29" s="1"/>
      <c r="X29" s="1"/>
      <c r="Y29" s="1"/>
      <c r="Z29" s="1"/>
    </row>
    <row r="30" spans="1:26" ht="15.75" customHeight="1" x14ac:dyDescent="0.25">
      <c r="A30" s="1"/>
      <c r="B30" s="1"/>
      <c r="C30" s="1" t="s">
        <v>48</v>
      </c>
      <c r="D30" s="13">
        <f t="shared" ref="D30:H30" si="48">D57+D75+D76</f>
        <v>-47500</v>
      </c>
      <c r="E30" s="13">
        <f t="shared" si="48"/>
        <v>-49520</v>
      </c>
      <c r="F30" s="13">
        <f t="shared" si="48"/>
        <v>-51580.4</v>
      </c>
      <c r="G30" s="13">
        <f t="shared" si="48"/>
        <v>-53682.008000000009</v>
      </c>
      <c r="H30" s="13">
        <f t="shared" si="48"/>
        <v>-55825.648160000012</v>
      </c>
      <c r="I30" s="1"/>
      <c r="J30" s="1" t="s">
        <v>48</v>
      </c>
      <c r="K30" s="13">
        <f t="shared" ref="K30:O30" si="49">D57/(1+$B$74)+(D75+D76)/(1+$B$81)</f>
        <v>-47500</v>
      </c>
      <c r="L30" s="13">
        <f t="shared" si="49"/>
        <v>-49520</v>
      </c>
      <c r="M30" s="13">
        <f t="shared" si="49"/>
        <v>-51580.399999999994</v>
      </c>
      <c r="N30" s="13">
        <f t="shared" si="49"/>
        <v>-53682.008000000002</v>
      </c>
      <c r="O30" s="13">
        <f t="shared" si="49"/>
        <v>-55825.648160000012</v>
      </c>
      <c r="P30" s="13"/>
      <c r="Q30" s="1" t="s">
        <v>48</v>
      </c>
      <c r="R30" s="13">
        <f t="shared" ref="R30:V30" si="50">-D57*$B$74-(D75+D76)*$B$81</f>
        <v>0</v>
      </c>
      <c r="S30" s="13">
        <f t="shared" si="50"/>
        <v>0</v>
      </c>
      <c r="T30" s="13">
        <f t="shared" si="50"/>
        <v>0</v>
      </c>
      <c r="U30" s="13">
        <f t="shared" si="50"/>
        <v>0</v>
      </c>
      <c r="V30" s="13">
        <f t="shared" si="50"/>
        <v>0</v>
      </c>
      <c r="W30" s="1"/>
      <c r="X30" s="1"/>
      <c r="Y30" s="1"/>
      <c r="Z30" s="1"/>
    </row>
    <row r="31" spans="1:26" ht="15.75" customHeight="1" x14ac:dyDescent="0.25">
      <c r="A31" s="1"/>
      <c r="B31" s="1"/>
      <c r="C31" s="1" t="s">
        <v>49</v>
      </c>
      <c r="D31" s="13">
        <f t="shared" ref="D31:H31" si="51">D61+D77</f>
        <v>-23700</v>
      </c>
      <c r="E31" s="13">
        <f t="shared" si="51"/>
        <v>-31496</v>
      </c>
      <c r="F31" s="13">
        <f t="shared" si="51"/>
        <v>-26205.919999999998</v>
      </c>
      <c r="G31" s="13">
        <f t="shared" si="51"/>
        <v>-16930.038399999998</v>
      </c>
      <c r="H31" s="13">
        <f t="shared" si="51"/>
        <v>-7668.6391680000015</v>
      </c>
      <c r="I31" s="1"/>
      <c r="J31" s="1" t="s">
        <v>49</v>
      </c>
      <c r="K31" s="13">
        <f t="shared" ref="K31:O31" si="52">D61/(1+$B$74)+D77/(1+$B$81)</f>
        <v>-23700</v>
      </c>
      <c r="L31" s="13">
        <f t="shared" si="52"/>
        <v>-31496</v>
      </c>
      <c r="M31" s="13">
        <f t="shared" si="52"/>
        <v>-26205.919999999998</v>
      </c>
      <c r="N31" s="13">
        <f t="shared" si="52"/>
        <v>-16930.038399999998</v>
      </c>
      <c r="O31" s="13">
        <f t="shared" si="52"/>
        <v>-7668.6391680000015</v>
      </c>
      <c r="P31" s="13"/>
      <c r="Q31" s="1" t="s">
        <v>49</v>
      </c>
      <c r="R31" s="13">
        <f t="shared" ref="R31:V31" si="53">-D61*$B$74-D77*$B$81</f>
        <v>0</v>
      </c>
      <c r="S31" s="13">
        <f t="shared" si="53"/>
        <v>0</v>
      </c>
      <c r="T31" s="13">
        <f t="shared" si="53"/>
        <v>0</v>
      </c>
      <c r="U31" s="13">
        <f t="shared" si="53"/>
        <v>0</v>
      </c>
      <c r="V31" s="13">
        <f t="shared" si="53"/>
        <v>0</v>
      </c>
      <c r="W31" s="1"/>
      <c r="X31" s="1"/>
      <c r="Y31" s="1"/>
      <c r="Z31" s="1"/>
    </row>
    <row r="32" spans="1:26" ht="15.75" customHeight="1" x14ac:dyDescent="0.25">
      <c r="A32" s="1"/>
      <c r="B32" s="1"/>
      <c r="C32" s="1" t="s">
        <v>50</v>
      </c>
      <c r="D32" s="13">
        <f t="shared" ref="D32:H32" si="54">D91+D101+D111+D113+D136</f>
        <v>41058.282646789099</v>
      </c>
      <c r="E32" s="13">
        <f t="shared" si="54"/>
        <v>41073.45620050811</v>
      </c>
      <c r="F32" s="13">
        <f t="shared" si="54"/>
        <v>41088.933225301487</v>
      </c>
      <c r="G32" s="13">
        <f t="shared" si="54"/>
        <v>41104.719790590752</v>
      </c>
      <c r="H32" s="13">
        <f t="shared" si="54"/>
        <v>41120.822087185792</v>
      </c>
      <c r="I32" s="1"/>
      <c r="J32" s="1" t="s">
        <v>50</v>
      </c>
      <c r="K32" s="13">
        <f t="shared" ref="K32:O32" si="55">D92+D102+D112+D114+D137</f>
        <v>8382.6122526067193</v>
      </c>
      <c r="L32" s="13">
        <f t="shared" si="55"/>
        <v>8382.6122526067193</v>
      </c>
      <c r="M32" s="13">
        <f t="shared" si="55"/>
        <v>8382.6122526067193</v>
      </c>
      <c r="N32" s="13">
        <f t="shared" si="55"/>
        <v>8382.6122526067193</v>
      </c>
      <c r="O32" s="13">
        <f t="shared" si="55"/>
        <v>8382.6122526067193</v>
      </c>
      <c r="P32" s="13"/>
      <c r="Q32" s="1" t="s">
        <v>50</v>
      </c>
      <c r="R32" s="13">
        <f t="shared" ref="R32:V32" si="56">D89+D85+D95+D99+D105+D109+D115+D138</f>
        <v>-32675.670394182373</v>
      </c>
      <c r="S32" s="13">
        <f t="shared" si="56"/>
        <v>-32690.843947901383</v>
      </c>
      <c r="T32" s="13">
        <f t="shared" si="56"/>
        <v>-32706.320972694768</v>
      </c>
      <c r="U32" s="13">
        <f t="shared" si="56"/>
        <v>-32722.107537984033</v>
      </c>
      <c r="V32" s="13">
        <f t="shared" si="56"/>
        <v>-32738.209834579073</v>
      </c>
      <c r="W32" s="1"/>
      <c r="X32" s="1"/>
      <c r="Y32" s="1"/>
      <c r="Z32" s="1"/>
    </row>
    <row r="33" spans="1:26" ht="15.75" customHeight="1" x14ac:dyDescent="0.25">
      <c r="A33" s="1"/>
      <c r="B33" s="1"/>
      <c r="C33" s="1" t="s">
        <v>51</v>
      </c>
      <c r="D33" s="13">
        <f t="shared" ref="D33:H33" si="57">D120</f>
        <v>-50000</v>
      </c>
      <c r="E33" s="13">
        <f t="shared" si="57"/>
        <v>-51000</v>
      </c>
      <c r="F33" s="13">
        <f t="shared" si="57"/>
        <v>-52020</v>
      </c>
      <c r="G33" s="13">
        <f t="shared" si="57"/>
        <v>-53060.4</v>
      </c>
      <c r="H33" s="13">
        <f t="shared" si="57"/>
        <v>-54121.608</v>
      </c>
      <c r="I33" s="1"/>
      <c r="J33" s="1" t="s">
        <v>51</v>
      </c>
      <c r="K33" s="13">
        <f t="shared" ref="K33:O33" si="58">D121</f>
        <v>-43478.260869565223</v>
      </c>
      <c r="L33" s="13">
        <f t="shared" si="58"/>
        <v>-44347.826086956527</v>
      </c>
      <c r="M33" s="13">
        <f t="shared" si="58"/>
        <v>-45234.782608695656</v>
      </c>
      <c r="N33" s="13">
        <f t="shared" si="58"/>
        <v>-46139.478260869568</v>
      </c>
      <c r="O33" s="13">
        <f t="shared" si="58"/>
        <v>-47062.267826086958</v>
      </c>
      <c r="P33" s="13"/>
      <c r="Q33" s="1" t="s">
        <v>51</v>
      </c>
      <c r="R33" s="13">
        <f t="shared" ref="R33:V33" si="59">D122</f>
        <v>6521.7391304347766</v>
      </c>
      <c r="S33" s="13">
        <f t="shared" si="59"/>
        <v>6652.1739130434726</v>
      </c>
      <c r="T33" s="13">
        <f t="shared" si="59"/>
        <v>6785.2173913043443</v>
      </c>
      <c r="U33" s="13">
        <f t="shared" si="59"/>
        <v>6920.9217391304337</v>
      </c>
      <c r="V33" s="13">
        <f t="shared" si="59"/>
        <v>7059.3401739130422</v>
      </c>
      <c r="W33" s="1"/>
      <c r="X33" s="1"/>
      <c r="Y33" s="1"/>
      <c r="Z33" s="1"/>
    </row>
    <row r="34" spans="1:26" ht="15.75" customHeight="1" x14ac:dyDescent="0.25">
      <c r="A34" s="1"/>
      <c r="B34" s="1"/>
      <c r="C34" s="1" t="s">
        <v>52</v>
      </c>
      <c r="D34" s="13">
        <f t="shared" ref="D34:H34" si="60">D22</f>
        <v>0</v>
      </c>
      <c r="E34" s="13">
        <f t="shared" si="60"/>
        <v>0</v>
      </c>
      <c r="F34" s="13">
        <f t="shared" si="60"/>
        <v>0</v>
      </c>
      <c r="G34" s="13">
        <f t="shared" si="60"/>
        <v>0</v>
      </c>
      <c r="H34" s="13">
        <f t="shared" si="60"/>
        <v>0</v>
      </c>
      <c r="I34" s="1"/>
      <c r="J34" s="1" t="s">
        <v>52</v>
      </c>
      <c r="K34" s="13">
        <f t="shared" ref="K34:O34" si="61">K22</f>
        <v>0</v>
      </c>
      <c r="L34" s="13">
        <f t="shared" si="61"/>
        <v>0</v>
      </c>
      <c r="M34" s="13">
        <f t="shared" si="61"/>
        <v>0</v>
      </c>
      <c r="N34" s="13">
        <f t="shared" si="61"/>
        <v>0</v>
      </c>
      <c r="O34" s="13">
        <f t="shared" si="61"/>
        <v>0</v>
      </c>
      <c r="P34" s="13"/>
      <c r="Q34" s="1"/>
      <c r="R34" s="13"/>
      <c r="S34" s="13"/>
      <c r="T34" s="13"/>
      <c r="U34" s="13"/>
      <c r="V34" s="13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1" t="s">
        <v>53</v>
      </c>
      <c r="D36" s="23">
        <f t="shared" ref="D36:H36" si="62">SUM(D29:D34)</f>
        <v>-66891.717353210901</v>
      </c>
      <c r="E36" s="23">
        <f t="shared" si="62"/>
        <v>-84270.54379949189</v>
      </c>
      <c r="F36" s="23">
        <f t="shared" si="62"/>
        <v>-78021.946774698517</v>
      </c>
      <c r="G36" s="23">
        <f t="shared" si="62"/>
        <v>-67898.37780940927</v>
      </c>
      <c r="H36" s="23">
        <f t="shared" si="62"/>
        <v>-57902.337464814227</v>
      </c>
      <c r="I36" s="1"/>
      <c r="J36" s="11" t="s">
        <v>53</v>
      </c>
      <c r="K36" s="23">
        <f t="shared" ref="K36:O36" si="63">SUM(K29:K34)</f>
        <v>-73817.297916275798</v>
      </c>
      <c r="L36" s="23">
        <f t="shared" si="63"/>
        <v>-92838.296119653445</v>
      </c>
      <c r="M36" s="23">
        <f t="shared" si="63"/>
        <v>-86122.714287098643</v>
      </c>
      <c r="N36" s="23">
        <f t="shared" si="63"/>
        <v>-75522.82081789276</v>
      </c>
      <c r="O36" s="23">
        <f t="shared" si="63"/>
        <v>-65040.929479302751</v>
      </c>
      <c r="P36" s="1"/>
      <c r="Q36" s="11" t="s">
        <v>53</v>
      </c>
      <c r="R36" s="23">
        <f t="shared" ref="R36:V36" si="64">SUM(R29:R33)</f>
        <v>-6925.5805630648829</v>
      </c>
      <c r="S36" s="23">
        <f t="shared" si="64"/>
        <v>-8567.7523201615477</v>
      </c>
      <c r="T36" s="23">
        <f t="shared" si="64"/>
        <v>-8100.7675124001289</v>
      </c>
      <c r="U36" s="23">
        <f t="shared" si="64"/>
        <v>-7624.4430084834967</v>
      </c>
      <c r="V36" s="23">
        <f t="shared" si="64"/>
        <v>-7138.592014488524</v>
      </c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4"/>
      <c r="D38" s="32"/>
      <c r="E38" s="32"/>
      <c r="F38" s="32"/>
      <c r="G38" s="32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 t="s">
        <v>54</v>
      </c>
      <c r="B39" s="4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3"/>
      <c r="B40" s="34"/>
      <c r="C40" s="14"/>
      <c r="D40" s="35">
        <v>2020</v>
      </c>
      <c r="E40" s="35">
        <v>2021</v>
      </c>
      <c r="F40" s="35">
        <v>2022</v>
      </c>
      <c r="G40" s="35">
        <v>2023</v>
      </c>
      <c r="H40" s="35">
        <v>2024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3"/>
      <c r="B41" s="36" t="s">
        <v>55</v>
      </c>
      <c r="C41" s="37"/>
      <c r="D41" s="38">
        <v>0.02</v>
      </c>
      <c r="E41" s="38">
        <v>0.02</v>
      </c>
      <c r="F41" s="38">
        <v>0.02</v>
      </c>
      <c r="G41" s="38">
        <v>0.02</v>
      </c>
      <c r="H41" s="38">
        <v>0.02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24" t="s">
        <v>56</v>
      </c>
      <c r="C42" s="1" t="s">
        <v>57</v>
      </c>
      <c r="D42" s="39">
        <v>316</v>
      </c>
      <c r="E42" s="39">
        <f t="shared" ref="E42:H42" si="65">D45</f>
        <v>319</v>
      </c>
      <c r="F42" s="39">
        <f t="shared" si="65"/>
        <v>332</v>
      </c>
      <c r="G42" s="39">
        <f t="shared" si="65"/>
        <v>345</v>
      </c>
      <c r="H42" s="39">
        <f t="shared" si="65"/>
        <v>358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4"/>
      <c r="C43" s="1" t="s">
        <v>58</v>
      </c>
      <c r="D43" s="22">
        <v>5</v>
      </c>
      <c r="E43" s="22">
        <v>18</v>
      </c>
      <c r="F43" s="22">
        <f t="shared" ref="F43:H44" si="66">E43</f>
        <v>18</v>
      </c>
      <c r="G43" s="22">
        <f t="shared" si="66"/>
        <v>18</v>
      </c>
      <c r="H43" s="22">
        <f t="shared" si="66"/>
        <v>18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24"/>
      <c r="C44" s="1" t="s">
        <v>59</v>
      </c>
      <c r="D44" s="22">
        <v>-2</v>
      </c>
      <c r="E44" s="22">
        <v>-5</v>
      </c>
      <c r="F44" s="22">
        <f t="shared" si="66"/>
        <v>-5</v>
      </c>
      <c r="G44" s="22">
        <f t="shared" si="66"/>
        <v>-5</v>
      </c>
      <c r="H44" s="22">
        <f t="shared" si="66"/>
        <v>-5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 t="s">
        <v>60</v>
      </c>
      <c r="D45" s="39">
        <f t="shared" ref="D45:H45" si="67">D42+D43+D44</f>
        <v>319</v>
      </c>
      <c r="E45" s="39">
        <f t="shared" si="67"/>
        <v>332</v>
      </c>
      <c r="F45" s="39">
        <f t="shared" si="67"/>
        <v>345</v>
      </c>
      <c r="G45" s="39">
        <f t="shared" si="67"/>
        <v>358</v>
      </c>
      <c r="H45" s="39">
        <f t="shared" si="67"/>
        <v>371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40" t="s">
        <v>61</v>
      </c>
      <c r="D46" s="1">
        <v>107</v>
      </c>
      <c r="E46" s="1">
        <f t="shared" ref="E46:H46" si="68">D46+D47</f>
        <v>107</v>
      </c>
      <c r="F46" s="1">
        <f t="shared" si="68"/>
        <v>107</v>
      </c>
      <c r="G46" s="1">
        <f t="shared" si="68"/>
        <v>107</v>
      </c>
      <c r="H46" s="1">
        <f t="shared" si="68"/>
        <v>107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40" t="s">
        <v>62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/>
      <c r="J47" s="41"/>
      <c r="K47" s="41"/>
      <c r="L47" s="41"/>
      <c r="M47" s="41"/>
      <c r="N47" s="4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40" t="s">
        <v>63</v>
      </c>
      <c r="D48" s="22">
        <v>0</v>
      </c>
      <c r="E48" s="22">
        <v>2</v>
      </c>
      <c r="F48" s="22">
        <v>5</v>
      </c>
      <c r="G48" s="22">
        <v>10</v>
      </c>
      <c r="H48" s="22">
        <v>15</v>
      </c>
      <c r="I48" s="1"/>
      <c r="J48" s="42" t="s">
        <v>64</v>
      </c>
      <c r="K48" s="41"/>
      <c r="L48" s="41"/>
      <c r="M48" s="41"/>
      <c r="N48" s="4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40" t="s">
        <v>65</v>
      </c>
      <c r="D49" s="1">
        <v>0</v>
      </c>
      <c r="E49" s="1">
        <v>2</v>
      </c>
      <c r="F49" s="22">
        <f t="shared" ref="F49:H49" si="69">F48-E48</f>
        <v>3</v>
      </c>
      <c r="G49" s="22">
        <f t="shared" si="69"/>
        <v>5</v>
      </c>
      <c r="H49" s="22">
        <f t="shared" si="69"/>
        <v>5</v>
      </c>
      <c r="I49" s="1"/>
      <c r="J49" s="43"/>
      <c r="K49" s="44" t="s">
        <v>66</v>
      </c>
      <c r="L49" s="226" t="s">
        <v>276</v>
      </c>
      <c r="M49" s="45" t="s">
        <v>68</v>
      </c>
      <c r="N49" s="4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4"/>
      <c r="C50" s="14" t="s">
        <v>69</v>
      </c>
      <c r="D50" s="14">
        <v>80</v>
      </c>
      <c r="E50" s="14">
        <f t="shared" ref="E50:H50" si="70">D50</f>
        <v>80</v>
      </c>
      <c r="F50" s="14">
        <f t="shared" si="70"/>
        <v>80</v>
      </c>
      <c r="G50" s="14">
        <f t="shared" si="70"/>
        <v>80</v>
      </c>
      <c r="H50" s="14">
        <f t="shared" si="70"/>
        <v>80</v>
      </c>
      <c r="I50" s="1"/>
      <c r="J50" s="46" t="s">
        <v>47</v>
      </c>
      <c r="K50" s="47">
        <f>E53+E65+E69</f>
        <v>130500</v>
      </c>
      <c r="L50" s="47">
        <f>-E116-E126-E130-E139</f>
        <v>123828</v>
      </c>
      <c r="M50" s="48">
        <f t="shared" ref="M50:M55" si="71">K50-L50</f>
        <v>6672</v>
      </c>
      <c r="N50" s="4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24" t="s">
        <v>29</v>
      </c>
      <c r="C51" s="1" t="s">
        <v>70</v>
      </c>
      <c r="D51" s="22">
        <f t="shared" ref="D51:H51" si="72">D45</f>
        <v>319</v>
      </c>
      <c r="E51" s="22">
        <f t="shared" si="72"/>
        <v>332</v>
      </c>
      <c r="F51" s="22">
        <f t="shared" si="72"/>
        <v>345</v>
      </c>
      <c r="G51" s="22">
        <f t="shared" si="72"/>
        <v>358</v>
      </c>
      <c r="H51" s="22">
        <f t="shared" si="72"/>
        <v>371</v>
      </c>
      <c r="I51" s="1"/>
      <c r="J51" s="49" t="s">
        <v>48</v>
      </c>
      <c r="K51" s="50">
        <f>E57</f>
        <v>53500</v>
      </c>
      <c r="L51" s="50">
        <f>-E75-E76</f>
        <v>103020</v>
      </c>
      <c r="M51" s="51">
        <f t="shared" si="71"/>
        <v>-49520</v>
      </c>
      <c r="N51" s="4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 t="s">
        <v>71</v>
      </c>
      <c r="D52" s="52">
        <v>500</v>
      </c>
      <c r="E52" s="52">
        <f t="shared" ref="E52:H52" si="73">D52</f>
        <v>500</v>
      </c>
      <c r="F52" s="52">
        <f t="shared" si="73"/>
        <v>500</v>
      </c>
      <c r="G52" s="52">
        <f t="shared" si="73"/>
        <v>500</v>
      </c>
      <c r="H52" s="52">
        <f t="shared" si="73"/>
        <v>500</v>
      </c>
      <c r="I52" s="1"/>
      <c r="J52" s="46" t="s">
        <v>49</v>
      </c>
      <c r="K52" s="47">
        <f>E61</f>
        <v>4000</v>
      </c>
      <c r="L52" s="47">
        <f>-E77</f>
        <v>35496</v>
      </c>
      <c r="M52" s="48">
        <f t="shared" si="71"/>
        <v>-31496</v>
      </c>
      <c r="N52" s="4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53" t="s">
        <v>72</v>
      </c>
      <c r="C53" s="1" t="s">
        <v>73</v>
      </c>
      <c r="D53" s="22">
        <f t="shared" ref="D53:H53" si="74">D51*D52</f>
        <v>159500</v>
      </c>
      <c r="E53" s="22">
        <f t="shared" si="74"/>
        <v>166000</v>
      </c>
      <c r="F53" s="22">
        <f t="shared" si="74"/>
        <v>172500</v>
      </c>
      <c r="G53" s="22">
        <f t="shared" si="74"/>
        <v>179000</v>
      </c>
      <c r="H53" s="22">
        <f t="shared" si="74"/>
        <v>185500</v>
      </c>
      <c r="I53" s="1"/>
      <c r="J53" s="49" t="s">
        <v>50</v>
      </c>
      <c r="K53" s="50">
        <f>E83+E93</f>
        <v>582045.00970873784</v>
      </c>
      <c r="L53" s="50">
        <f>-E87-E97-E107-E113-E136</f>
        <v>540971.55350822979</v>
      </c>
      <c r="M53" s="51">
        <f t="shared" si="71"/>
        <v>41073.456200508052</v>
      </c>
      <c r="N53" s="4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2"/>
      <c r="E54" s="22"/>
      <c r="F54" s="22"/>
      <c r="G54" s="22"/>
      <c r="H54" s="22"/>
      <c r="I54" s="1"/>
      <c r="J54" s="46" t="s">
        <v>51</v>
      </c>
      <c r="K54" s="47"/>
      <c r="L54" s="47">
        <f>-E120</f>
        <v>51000</v>
      </c>
      <c r="M54" s="48">
        <f t="shared" si="71"/>
        <v>-51000</v>
      </c>
      <c r="N54" s="4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 t="s">
        <v>74</v>
      </c>
      <c r="D55" s="22">
        <f t="shared" ref="D55:H55" si="75">D46</f>
        <v>107</v>
      </c>
      <c r="E55" s="22">
        <f t="shared" si="75"/>
        <v>107</v>
      </c>
      <c r="F55" s="22">
        <f t="shared" si="75"/>
        <v>107</v>
      </c>
      <c r="G55" s="22">
        <f t="shared" si="75"/>
        <v>107</v>
      </c>
      <c r="H55" s="22">
        <f t="shared" si="75"/>
        <v>107</v>
      </c>
      <c r="I55" s="1"/>
      <c r="J55" s="49" t="s">
        <v>43</v>
      </c>
      <c r="K55" s="50"/>
      <c r="L55" s="50">
        <f>-E22</f>
        <v>0</v>
      </c>
      <c r="M55" s="51">
        <f t="shared" si="71"/>
        <v>0</v>
      </c>
      <c r="N55" s="4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 t="s">
        <v>75</v>
      </c>
      <c r="D56" s="52">
        <v>500</v>
      </c>
      <c r="E56" s="54">
        <v>500</v>
      </c>
      <c r="F56" s="52">
        <f t="shared" ref="F56:H56" si="76">E56</f>
        <v>500</v>
      </c>
      <c r="G56" s="52">
        <f t="shared" si="76"/>
        <v>500</v>
      </c>
      <c r="H56" s="52">
        <f t="shared" si="76"/>
        <v>500</v>
      </c>
      <c r="I56" s="1"/>
      <c r="J56" s="55" t="s">
        <v>76</v>
      </c>
      <c r="K56" s="56">
        <f>MAX(K57-L57,0)</f>
        <v>0</v>
      </c>
      <c r="L56" s="56">
        <f>MAX(L57-K57,0)</f>
        <v>84270.543799491948</v>
      </c>
      <c r="M56" s="57"/>
      <c r="N56" s="4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 t="s">
        <v>77</v>
      </c>
      <c r="D57" s="22">
        <f t="shared" ref="D57:H57" si="77">D55*D56</f>
        <v>53500</v>
      </c>
      <c r="E57" s="22">
        <f t="shared" si="77"/>
        <v>53500</v>
      </c>
      <c r="F57" s="22">
        <f t="shared" si="77"/>
        <v>53500</v>
      </c>
      <c r="G57" s="22">
        <f t="shared" si="77"/>
        <v>53500</v>
      </c>
      <c r="H57" s="22">
        <f t="shared" si="77"/>
        <v>53500</v>
      </c>
      <c r="I57" s="1"/>
      <c r="J57" s="41" t="s">
        <v>68</v>
      </c>
      <c r="K57" s="58">
        <f t="shared" ref="K57:L57" si="78">SUM(K50:K55)</f>
        <v>770045.00970873784</v>
      </c>
      <c r="L57" s="58">
        <f t="shared" si="78"/>
        <v>854315.55350822979</v>
      </c>
      <c r="M57" s="58"/>
      <c r="N57" s="4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2"/>
      <c r="E58" s="22"/>
      <c r="F58" s="22"/>
      <c r="G58" s="22"/>
      <c r="H58" s="22"/>
      <c r="I58" s="1"/>
      <c r="J58" s="1"/>
      <c r="K58" s="1"/>
      <c r="L58" s="1"/>
      <c r="M58" s="1"/>
      <c r="N58" s="4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 t="s">
        <v>78</v>
      </c>
      <c r="D59" s="22">
        <f t="shared" ref="D59:E59" si="79">D48</f>
        <v>0</v>
      </c>
      <c r="E59" s="22">
        <f t="shared" si="79"/>
        <v>2</v>
      </c>
      <c r="F59" s="22">
        <v>5</v>
      </c>
      <c r="G59" s="22">
        <v>10</v>
      </c>
      <c r="H59" s="22">
        <v>15</v>
      </c>
      <c r="I59" s="1"/>
      <c r="J59" s="1"/>
      <c r="K59" s="22"/>
      <c r="L59" s="22"/>
      <c r="M59" s="2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 t="s">
        <v>79</v>
      </c>
      <c r="D60" s="52">
        <v>0</v>
      </c>
      <c r="E60" s="52">
        <v>2000</v>
      </c>
      <c r="F60" s="52">
        <f t="shared" ref="F60:H60" si="80">E60</f>
        <v>2000</v>
      </c>
      <c r="G60" s="52">
        <f t="shared" si="80"/>
        <v>2000</v>
      </c>
      <c r="H60" s="52">
        <f t="shared" si="80"/>
        <v>2000</v>
      </c>
      <c r="I60" s="1"/>
      <c r="J60" s="1"/>
      <c r="K60" s="22"/>
      <c r="L60" s="22"/>
      <c r="M60" s="2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 t="s">
        <v>77</v>
      </c>
      <c r="D61" s="22">
        <f t="shared" ref="D61:H61" si="81">D59*D60</f>
        <v>0</v>
      </c>
      <c r="E61" s="22">
        <f t="shared" si="81"/>
        <v>4000</v>
      </c>
      <c r="F61" s="22">
        <f t="shared" si="81"/>
        <v>10000</v>
      </c>
      <c r="G61" s="22">
        <f t="shared" si="81"/>
        <v>20000</v>
      </c>
      <c r="H61" s="22">
        <f t="shared" si="81"/>
        <v>30000</v>
      </c>
      <c r="I61" s="1"/>
      <c r="J61" s="24" t="s">
        <v>80</v>
      </c>
      <c r="K61" s="22"/>
      <c r="L61" s="22"/>
      <c r="M61" s="2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2"/>
      <c r="E62" s="22"/>
      <c r="F62" s="22"/>
      <c r="G62" s="22"/>
      <c r="H62" s="22"/>
      <c r="I62" s="1"/>
      <c r="J62" s="1"/>
      <c r="K62" s="32">
        <v>2021</v>
      </c>
      <c r="L62" s="32">
        <v>2022</v>
      </c>
      <c r="M62" s="32">
        <v>2023</v>
      </c>
      <c r="N62" s="24">
        <v>2024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 t="s">
        <v>58</v>
      </c>
      <c r="D63" s="22">
        <f t="shared" ref="D63:H63" si="82">D43</f>
        <v>5</v>
      </c>
      <c r="E63" s="22">
        <f t="shared" si="82"/>
        <v>18</v>
      </c>
      <c r="F63" s="22">
        <f t="shared" si="82"/>
        <v>18</v>
      </c>
      <c r="G63" s="22">
        <f t="shared" si="82"/>
        <v>18</v>
      </c>
      <c r="H63" s="22">
        <f t="shared" si="82"/>
        <v>18</v>
      </c>
      <c r="I63" s="22"/>
      <c r="J63" s="1" t="s">
        <v>81</v>
      </c>
      <c r="K63" s="22">
        <f t="shared" ref="K63:N63" si="83">E57+E61</f>
        <v>57500</v>
      </c>
      <c r="L63" s="22">
        <f t="shared" si="83"/>
        <v>63500</v>
      </c>
      <c r="M63" s="22">
        <f t="shared" si="83"/>
        <v>73500</v>
      </c>
      <c r="N63" s="22">
        <f t="shared" si="83"/>
        <v>83500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 t="s">
        <v>82</v>
      </c>
      <c r="D64" s="52">
        <v>250</v>
      </c>
      <c r="E64" s="52">
        <f t="shared" ref="E64:H64" si="84">D64</f>
        <v>250</v>
      </c>
      <c r="F64" s="52">
        <f t="shared" si="84"/>
        <v>250</v>
      </c>
      <c r="G64" s="52">
        <f t="shared" si="84"/>
        <v>250</v>
      </c>
      <c r="H64" s="52">
        <f t="shared" si="84"/>
        <v>250</v>
      </c>
      <c r="I64" s="1"/>
      <c r="J64" s="1" t="s">
        <v>83</v>
      </c>
      <c r="K64" s="22">
        <f t="shared" ref="K64:N64" si="85">-E79</f>
        <v>138516</v>
      </c>
      <c r="L64" s="22">
        <f t="shared" si="85"/>
        <v>141286.32</v>
      </c>
      <c r="M64" s="22">
        <f t="shared" si="85"/>
        <v>144112.04639999999</v>
      </c>
      <c r="N64" s="22">
        <f t="shared" si="85"/>
        <v>146994.28732800001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 t="s">
        <v>77</v>
      </c>
      <c r="D65" s="22">
        <f t="shared" ref="D65:H65" si="86">D63*D64</f>
        <v>1250</v>
      </c>
      <c r="E65" s="22">
        <f t="shared" si="86"/>
        <v>4500</v>
      </c>
      <c r="F65" s="22">
        <f t="shared" si="86"/>
        <v>4500</v>
      </c>
      <c r="G65" s="22">
        <f t="shared" si="86"/>
        <v>4500</v>
      </c>
      <c r="H65" s="22">
        <f t="shared" si="86"/>
        <v>4500</v>
      </c>
      <c r="I65" s="1"/>
      <c r="J65" s="1"/>
      <c r="K65" s="22"/>
      <c r="L65" s="22"/>
      <c r="M65" s="2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2"/>
      <c r="E66" s="22"/>
      <c r="F66" s="22"/>
      <c r="G66" s="22"/>
      <c r="H66" s="22"/>
      <c r="I66" s="1"/>
      <c r="J66" s="1"/>
      <c r="K66" s="22"/>
      <c r="L66" s="22"/>
      <c r="M66" s="2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 t="s">
        <v>69</v>
      </c>
      <c r="D67" s="22">
        <f t="shared" ref="D67:H67" si="87">D50</f>
        <v>80</v>
      </c>
      <c r="E67" s="22">
        <f t="shared" si="87"/>
        <v>80</v>
      </c>
      <c r="F67" s="22">
        <f t="shared" si="87"/>
        <v>80</v>
      </c>
      <c r="G67" s="22">
        <f t="shared" si="87"/>
        <v>80</v>
      </c>
      <c r="H67" s="22">
        <f t="shared" si="87"/>
        <v>80</v>
      </c>
      <c r="I67" s="1"/>
      <c r="J67" s="1"/>
      <c r="K67" s="22"/>
      <c r="L67" s="22"/>
      <c r="M67" s="2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 t="s">
        <v>84</v>
      </c>
      <c r="D68" s="22">
        <f t="shared" ref="D68:H68" si="88">D52</f>
        <v>500</v>
      </c>
      <c r="E68" s="22">
        <f t="shared" si="88"/>
        <v>500</v>
      </c>
      <c r="F68" s="22">
        <f t="shared" si="88"/>
        <v>500</v>
      </c>
      <c r="G68" s="22">
        <f t="shared" si="88"/>
        <v>500</v>
      </c>
      <c r="H68" s="22">
        <f t="shared" si="88"/>
        <v>500</v>
      </c>
      <c r="I68" s="1"/>
      <c r="J68" s="1"/>
      <c r="K68" s="22"/>
      <c r="L68" s="22"/>
      <c r="M68" s="2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 t="s">
        <v>85</v>
      </c>
      <c r="D69" s="22">
        <f t="shared" ref="D69:H69" si="89">-D67*D68</f>
        <v>-40000</v>
      </c>
      <c r="E69" s="22">
        <f t="shared" si="89"/>
        <v>-40000</v>
      </c>
      <c r="F69" s="22">
        <f t="shared" si="89"/>
        <v>-40000</v>
      </c>
      <c r="G69" s="22">
        <f t="shared" si="89"/>
        <v>-40000</v>
      </c>
      <c r="H69" s="22">
        <f t="shared" si="89"/>
        <v>-40000</v>
      </c>
      <c r="I69" s="1"/>
      <c r="J69" s="1"/>
      <c r="K69" s="22"/>
      <c r="L69" s="22"/>
      <c r="M69" s="2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 t="s">
        <v>86</v>
      </c>
      <c r="D70" s="22">
        <v>30000</v>
      </c>
      <c r="E70" s="22">
        <v>0</v>
      </c>
      <c r="F70" s="22">
        <f t="shared" ref="F70:H70" si="90">E70</f>
        <v>0</v>
      </c>
      <c r="G70" s="22">
        <f t="shared" si="90"/>
        <v>0</v>
      </c>
      <c r="H70" s="22">
        <f t="shared" si="90"/>
        <v>0</v>
      </c>
      <c r="I70" s="1"/>
      <c r="J70" s="1"/>
      <c r="K70" s="22"/>
      <c r="L70" s="22"/>
      <c r="M70" s="2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2"/>
      <c r="E71" s="22"/>
      <c r="F71" s="22"/>
      <c r="G71" s="22"/>
      <c r="H71" s="22"/>
      <c r="I71" s="1"/>
      <c r="J71" s="1"/>
      <c r="K71" s="22"/>
      <c r="L71" s="22"/>
      <c r="M71" s="2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4" t="s">
        <v>87</v>
      </c>
      <c r="D72" s="32">
        <f t="shared" ref="D72:H72" si="91">D53+D65+D57+D61+D69+D70</f>
        <v>204250</v>
      </c>
      <c r="E72" s="32">
        <f t="shared" si="91"/>
        <v>188000</v>
      </c>
      <c r="F72" s="32">
        <f t="shared" si="91"/>
        <v>200500</v>
      </c>
      <c r="G72" s="32">
        <f t="shared" si="91"/>
        <v>217000</v>
      </c>
      <c r="H72" s="32">
        <f t="shared" si="91"/>
        <v>233500</v>
      </c>
      <c r="I72" s="1"/>
      <c r="J72" s="1"/>
      <c r="K72" s="22"/>
      <c r="L72" s="22"/>
      <c r="M72" s="2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4" t="s">
        <v>88</v>
      </c>
      <c r="D73" s="32">
        <f t="shared" ref="D73:H73" si="92">D72/(1+$B$74)</f>
        <v>204250</v>
      </c>
      <c r="E73" s="32">
        <f t="shared" si="92"/>
        <v>188000</v>
      </c>
      <c r="F73" s="32">
        <f t="shared" si="92"/>
        <v>200500</v>
      </c>
      <c r="G73" s="32">
        <f t="shared" si="92"/>
        <v>217000</v>
      </c>
      <c r="H73" s="32">
        <f t="shared" si="92"/>
        <v>233500</v>
      </c>
      <c r="I73" s="1"/>
      <c r="J73" s="1"/>
      <c r="K73" s="22"/>
      <c r="L73" s="22"/>
      <c r="M73" s="2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59">
        <v>0</v>
      </c>
      <c r="C74" s="14" t="s">
        <v>27</v>
      </c>
      <c r="D74" s="60">
        <f t="shared" ref="D74:H74" si="93">D73-D72</f>
        <v>0</v>
      </c>
      <c r="E74" s="60">
        <f t="shared" si="93"/>
        <v>0</v>
      </c>
      <c r="F74" s="60">
        <f t="shared" si="93"/>
        <v>0</v>
      </c>
      <c r="G74" s="60">
        <f t="shared" si="93"/>
        <v>0</v>
      </c>
      <c r="H74" s="60">
        <f t="shared" si="93"/>
        <v>0</v>
      </c>
      <c r="I74" s="1"/>
      <c r="J74" s="1"/>
      <c r="K74" s="22"/>
      <c r="L74" s="22"/>
      <c r="M74" s="2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4" t="s">
        <v>89</v>
      </c>
      <c r="C75" s="1" t="s">
        <v>90</v>
      </c>
      <c r="D75" s="22">
        <v>-62000</v>
      </c>
      <c r="E75" s="22">
        <f t="shared" ref="E75:H77" si="94">D75*(1+D$41)</f>
        <v>-63240</v>
      </c>
      <c r="F75" s="22">
        <f t="shared" si="94"/>
        <v>-64504.800000000003</v>
      </c>
      <c r="G75" s="22">
        <f t="shared" si="94"/>
        <v>-65794.896000000008</v>
      </c>
      <c r="H75" s="22">
        <f t="shared" si="94"/>
        <v>-67110.793920000011</v>
      </c>
      <c r="I75" s="1"/>
      <c r="J75" s="1"/>
      <c r="K75" s="22"/>
      <c r="L75" s="22"/>
      <c r="M75" s="2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 t="s">
        <v>91</v>
      </c>
      <c r="D76" s="22">
        <v>-39000</v>
      </c>
      <c r="E76" s="22">
        <f t="shared" si="94"/>
        <v>-39780</v>
      </c>
      <c r="F76" s="22">
        <f t="shared" si="94"/>
        <v>-40575.599999999999</v>
      </c>
      <c r="G76" s="22">
        <f t="shared" si="94"/>
        <v>-41387.112000000001</v>
      </c>
      <c r="H76" s="22">
        <f t="shared" si="94"/>
        <v>-42214.854240000001</v>
      </c>
      <c r="I76" s="1"/>
      <c r="J76" s="1"/>
      <c r="K76" s="22"/>
      <c r="L76" s="22"/>
      <c r="M76" s="2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 t="s">
        <v>49</v>
      </c>
      <c r="D77" s="54">
        <f>-CERA!$B$12*CERA!$B$18*CERA!$B$9-CERA!$B$15*CERA!$B$18</f>
        <v>-23700</v>
      </c>
      <c r="E77" s="22">
        <f>-CERA!$B$12*CERA!$B$18*(1+E$41)</f>
        <v>-35496</v>
      </c>
      <c r="F77" s="22">
        <f t="shared" si="94"/>
        <v>-36205.919999999998</v>
      </c>
      <c r="G77" s="22">
        <f t="shared" si="94"/>
        <v>-36930.038399999998</v>
      </c>
      <c r="H77" s="22">
        <f t="shared" si="94"/>
        <v>-37668.639168000002</v>
      </c>
      <c r="I77" s="1"/>
      <c r="J77" s="1"/>
      <c r="K77" s="22"/>
      <c r="L77" s="22"/>
      <c r="M77" s="2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2"/>
      <c r="E78" s="22"/>
      <c r="F78" s="22"/>
      <c r="G78" s="22"/>
      <c r="H78" s="22"/>
      <c r="I78" s="1"/>
      <c r="J78" s="42" t="s">
        <v>92</v>
      </c>
      <c r="K78" s="58"/>
      <c r="L78" s="58"/>
      <c r="M78" s="58"/>
      <c r="N78" s="4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4" t="s">
        <v>87</v>
      </c>
      <c r="D79" s="32">
        <f t="shared" ref="D79:H79" si="95">SUM(D75:D77)</f>
        <v>-124700</v>
      </c>
      <c r="E79" s="32">
        <f t="shared" si="95"/>
        <v>-138516</v>
      </c>
      <c r="F79" s="32">
        <f t="shared" si="95"/>
        <v>-141286.32</v>
      </c>
      <c r="G79" s="32">
        <f t="shared" si="95"/>
        <v>-144112.04639999999</v>
      </c>
      <c r="H79" s="32">
        <f t="shared" si="95"/>
        <v>-146994.28732800001</v>
      </c>
      <c r="I79" s="1"/>
      <c r="J79" s="61"/>
      <c r="K79" s="62" t="s">
        <v>66</v>
      </c>
      <c r="L79" s="227" t="s">
        <v>276</v>
      </c>
      <c r="M79" s="63" t="s">
        <v>68</v>
      </c>
      <c r="N79" s="4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4" t="s">
        <v>88</v>
      </c>
      <c r="D80" s="32">
        <f t="shared" ref="D80:H80" si="96">D79/(1+$B$81)</f>
        <v>-124700</v>
      </c>
      <c r="E80" s="32">
        <f t="shared" si="96"/>
        <v>-138516</v>
      </c>
      <c r="F80" s="32">
        <f t="shared" si="96"/>
        <v>-141286.32</v>
      </c>
      <c r="G80" s="32">
        <f t="shared" si="96"/>
        <v>-144112.04639999999</v>
      </c>
      <c r="H80" s="32">
        <f t="shared" si="96"/>
        <v>-146994.28732800001</v>
      </c>
      <c r="I80" s="1"/>
      <c r="J80" s="64" t="s">
        <v>47</v>
      </c>
      <c r="K80" s="65">
        <f>(E53+E65+E69)/1000</f>
        <v>130.5</v>
      </c>
      <c r="L80" s="65">
        <f>(-E116-E126-E130-E139)/1000</f>
        <v>123.828</v>
      </c>
      <c r="M80" s="66">
        <f t="shared" ref="M80:M85" si="97">K80-L80</f>
        <v>6.671999999999997</v>
      </c>
      <c r="N80" s="4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59">
        <v>0</v>
      </c>
      <c r="C81" s="14" t="s">
        <v>27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1"/>
      <c r="J81" s="67" t="s">
        <v>48</v>
      </c>
      <c r="K81" s="68">
        <f>(E57)/1000</f>
        <v>53.5</v>
      </c>
      <c r="L81" s="68">
        <f>(-E75-E76)/1000</f>
        <v>103.02</v>
      </c>
      <c r="M81" s="69">
        <f t="shared" si="97"/>
        <v>-49.519999999999996</v>
      </c>
      <c r="N81" s="4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4" t="s">
        <v>31</v>
      </c>
      <c r="C82" s="1" t="s">
        <v>93</v>
      </c>
      <c r="D82" s="22">
        <f>'JAS_Shrnuti 2020'!E5</f>
        <v>6717.4757281553393</v>
      </c>
      <c r="E82" s="22">
        <f>D82*(1+E$41*0)</f>
        <v>6717.4757281553393</v>
      </c>
      <c r="F82" s="22">
        <f t="shared" ref="F82:H82" si="98">E82*(1+F$41*0)</f>
        <v>6717.4757281553393</v>
      </c>
      <c r="G82" s="22">
        <f t="shared" si="98"/>
        <v>6717.4757281553393</v>
      </c>
      <c r="H82" s="22">
        <f t="shared" si="98"/>
        <v>6717.4757281553393</v>
      </c>
      <c r="I82" s="1"/>
      <c r="J82" s="64" t="s">
        <v>49</v>
      </c>
      <c r="K82" s="65">
        <f>(E61)/1000</f>
        <v>4</v>
      </c>
      <c r="L82" s="65">
        <f>(-E77)/1000</f>
        <v>35.496000000000002</v>
      </c>
      <c r="M82" s="66">
        <f t="shared" si="97"/>
        <v>-31.496000000000002</v>
      </c>
      <c r="N82" s="4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 t="s">
        <v>94</v>
      </c>
      <c r="D83" s="22">
        <f>'JAS_Shrnuti 2020'!E8</f>
        <v>550833.00970873784</v>
      </c>
      <c r="E83" s="22">
        <f>D83*(1+E$41*0)</f>
        <v>550833.00970873784</v>
      </c>
      <c r="F83" s="22">
        <f t="shared" ref="F83:H83" si="99">E83*(1+F$41*0)</f>
        <v>550833.00970873784</v>
      </c>
      <c r="G83" s="22">
        <f t="shared" si="99"/>
        <v>550833.00970873784</v>
      </c>
      <c r="H83" s="22">
        <f t="shared" si="99"/>
        <v>550833.00970873784</v>
      </c>
      <c r="I83" s="1"/>
      <c r="J83" s="67" t="s">
        <v>50</v>
      </c>
      <c r="K83" s="68">
        <f>(E91+E101)/1000</f>
        <v>120.59345620050811</v>
      </c>
      <c r="L83" s="68">
        <f>(-E107-E113-E136)/1000</f>
        <v>79.52</v>
      </c>
      <c r="M83" s="69">
        <f t="shared" si="97"/>
        <v>41.073456200508119</v>
      </c>
      <c r="N83" s="4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 t="s">
        <v>95</v>
      </c>
      <c r="D84" s="22">
        <f t="shared" ref="D84:H84" si="100">D83/(1+$B$85)</f>
        <v>455233.89232127095</v>
      </c>
      <c r="E84" s="22">
        <f t="shared" si="100"/>
        <v>455233.89232127095</v>
      </c>
      <c r="F84" s="22">
        <f t="shared" si="100"/>
        <v>455233.89232127095</v>
      </c>
      <c r="G84" s="22">
        <f t="shared" si="100"/>
        <v>455233.89232127095</v>
      </c>
      <c r="H84" s="22">
        <f t="shared" si="100"/>
        <v>455233.89232127095</v>
      </c>
      <c r="I84" s="1"/>
      <c r="J84" s="64" t="s">
        <v>51</v>
      </c>
      <c r="K84" s="65">
        <v>0</v>
      </c>
      <c r="L84" s="65">
        <f>(-E120)/1000</f>
        <v>51</v>
      </c>
      <c r="M84" s="66">
        <f t="shared" si="97"/>
        <v>-51</v>
      </c>
      <c r="N84" s="4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6">
        <v>0.21</v>
      </c>
      <c r="C85" s="1" t="s">
        <v>27</v>
      </c>
      <c r="D85" s="22">
        <f t="shared" ref="D85:H85" si="101">-(D83-D84)</f>
        <v>-95599.117387466889</v>
      </c>
      <c r="E85" s="22">
        <f t="shared" si="101"/>
        <v>-95599.117387466889</v>
      </c>
      <c r="F85" s="22">
        <f t="shared" si="101"/>
        <v>-95599.117387466889</v>
      </c>
      <c r="G85" s="22">
        <f t="shared" si="101"/>
        <v>-95599.117387466889</v>
      </c>
      <c r="H85" s="22">
        <f t="shared" si="101"/>
        <v>-95599.117387466889</v>
      </c>
      <c r="I85" s="1"/>
      <c r="J85" s="67" t="s">
        <v>43</v>
      </c>
      <c r="K85" s="68">
        <v>0</v>
      </c>
      <c r="L85" s="68">
        <f>(-E22)/1000</f>
        <v>0</v>
      </c>
      <c r="M85" s="69">
        <f t="shared" si="97"/>
        <v>0</v>
      </c>
      <c r="N85" s="4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7"/>
      <c r="C86" s="1"/>
      <c r="D86" s="22"/>
      <c r="E86" s="22"/>
      <c r="F86" s="22"/>
      <c r="G86" s="22"/>
      <c r="H86" s="22"/>
      <c r="I86" s="1"/>
      <c r="J86" s="70" t="s">
        <v>76</v>
      </c>
      <c r="K86" s="71">
        <f>MAX(K87-L87,0)</f>
        <v>0</v>
      </c>
      <c r="L86" s="71">
        <f>MAX(L87-K87,0)</f>
        <v>84.270543799491861</v>
      </c>
      <c r="M86" s="72"/>
      <c r="N86" s="4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 t="s">
        <v>265</v>
      </c>
      <c r="D87" s="22">
        <f>-'JAS_Shrnuti 2020'!E9</f>
        <v>-431013.40474789916</v>
      </c>
      <c r="E87" s="22">
        <f t="shared" ref="E87:H87" si="102">E88-E89</f>
        <v>-431013.40474789916</v>
      </c>
      <c r="F87" s="22">
        <f t="shared" si="102"/>
        <v>-431013.40474789916</v>
      </c>
      <c r="G87" s="22">
        <f t="shared" si="102"/>
        <v>-431013.40474789916</v>
      </c>
      <c r="H87" s="22">
        <f t="shared" si="102"/>
        <v>-431013.40474789916</v>
      </c>
      <c r="I87" s="1"/>
      <c r="J87" s="41" t="s">
        <v>68</v>
      </c>
      <c r="K87" s="58">
        <f t="shared" ref="K87:L87" si="103">SUM(K80:K85)</f>
        <v>308.59345620050811</v>
      </c>
      <c r="L87" s="58">
        <f t="shared" si="103"/>
        <v>392.86399999999998</v>
      </c>
      <c r="M87" s="58"/>
      <c r="N87" s="4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 t="s">
        <v>266</v>
      </c>
      <c r="D88" s="22">
        <f>-'JAS_Shrnuti 2020'!E13</f>
        <v>-369851.28006866423</v>
      </c>
      <c r="E88" s="22">
        <f>D88*(1+E$41*0)</f>
        <v>-369851.28006866423</v>
      </c>
      <c r="F88" s="22">
        <f t="shared" ref="F88:H88" si="104">E88*(1+F$41*0)</f>
        <v>-369851.28006866423</v>
      </c>
      <c r="G88" s="22">
        <f t="shared" si="104"/>
        <v>-369851.28006866423</v>
      </c>
      <c r="H88" s="22">
        <f t="shared" si="104"/>
        <v>-369851.28006866423</v>
      </c>
      <c r="I88" s="1"/>
      <c r="J88" s="1"/>
      <c r="K88" s="1"/>
      <c r="L88" s="1"/>
      <c r="M88" s="1"/>
      <c r="N88" s="4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73">
        <f>($D$89/-$D$88)</f>
        <v>0.1653695092467436</v>
      </c>
      <c r="C89" s="1" t="s">
        <v>27</v>
      </c>
      <c r="D89" s="22">
        <f>-(D87-D88)</f>
        <v>61162.124679234927</v>
      </c>
      <c r="E89" s="22">
        <f t="shared" ref="E89:H89" si="105">-E88*$B$89</f>
        <v>61162.124679234927</v>
      </c>
      <c r="F89" s="22">
        <f t="shared" si="105"/>
        <v>61162.124679234927</v>
      </c>
      <c r="G89" s="22">
        <f t="shared" si="105"/>
        <v>61162.124679234927</v>
      </c>
      <c r="H89" s="22">
        <f t="shared" si="105"/>
        <v>61162.124679234927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2"/>
      <c r="E90" s="74"/>
      <c r="F90" s="22"/>
      <c r="G90" s="22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75"/>
      <c r="C91" s="24" t="s">
        <v>87</v>
      </c>
      <c r="D91" s="32">
        <f t="shared" ref="D91:H92" si="106">D83+D87</f>
        <v>119819.60496083868</v>
      </c>
      <c r="E91" s="32">
        <f t="shared" si="106"/>
        <v>119819.60496083868</v>
      </c>
      <c r="F91" s="32">
        <f t="shared" si="106"/>
        <v>119819.60496083868</v>
      </c>
      <c r="G91" s="32">
        <f t="shared" si="106"/>
        <v>119819.60496083868</v>
      </c>
      <c r="H91" s="32">
        <f t="shared" si="106"/>
        <v>119819.60496083868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76"/>
      <c r="C92" s="35" t="s">
        <v>88</v>
      </c>
      <c r="D92" s="77">
        <f t="shared" si="106"/>
        <v>85382.612252606719</v>
      </c>
      <c r="E92" s="77">
        <f t="shared" si="106"/>
        <v>85382.612252606719</v>
      </c>
      <c r="F92" s="77">
        <f t="shared" si="106"/>
        <v>85382.612252606719</v>
      </c>
      <c r="G92" s="77">
        <f t="shared" si="106"/>
        <v>85382.612252606719</v>
      </c>
      <c r="H92" s="77">
        <f t="shared" si="106"/>
        <v>85382.612252606719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4" t="s">
        <v>32</v>
      </c>
      <c r="C93" s="1" t="s">
        <v>94</v>
      </c>
      <c r="D93" s="22">
        <f>30000*(1+D$41)</f>
        <v>30600</v>
      </c>
      <c r="E93" s="22">
        <f t="shared" ref="E93:H93" si="107">D93*(1+E$41)</f>
        <v>31212</v>
      </c>
      <c r="F93" s="22">
        <f t="shared" si="107"/>
        <v>31836.240000000002</v>
      </c>
      <c r="G93" s="22">
        <f t="shared" si="107"/>
        <v>32472.964800000002</v>
      </c>
      <c r="H93" s="22">
        <f t="shared" si="107"/>
        <v>33122.424096000002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 t="s">
        <v>95</v>
      </c>
      <c r="D94" s="22">
        <f t="shared" ref="D94:H94" si="108">D93/(1+$B$95)</f>
        <v>25289.25619834711</v>
      </c>
      <c r="E94" s="22">
        <f t="shared" si="108"/>
        <v>25795.041322314049</v>
      </c>
      <c r="F94" s="22">
        <f t="shared" si="108"/>
        <v>26310.942148760332</v>
      </c>
      <c r="G94" s="22">
        <f t="shared" si="108"/>
        <v>26837.160991735538</v>
      </c>
      <c r="H94" s="22">
        <f t="shared" si="108"/>
        <v>27373.90421157025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6">
        <v>0.21</v>
      </c>
      <c r="C95" s="1" t="s">
        <v>27</v>
      </c>
      <c r="D95" s="22">
        <f t="shared" ref="D95:H95" si="109">-(D93-D94)</f>
        <v>-5310.7438016528904</v>
      </c>
      <c r="E95" s="22">
        <f t="shared" si="109"/>
        <v>-5416.9586776859505</v>
      </c>
      <c r="F95" s="22">
        <f t="shared" si="109"/>
        <v>-5525.2978512396694</v>
      </c>
      <c r="G95" s="22">
        <f t="shared" si="109"/>
        <v>-5635.8038082644634</v>
      </c>
      <c r="H95" s="22">
        <f t="shared" si="109"/>
        <v>-5748.519884429752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2"/>
      <c r="E96" s="22"/>
      <c r="F96" s="22"/>
      <c r="G96" s="22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 t="s">
        <v>265</v>
      </c>
      <c r="D97" s="22">
        <f t="shared" ref="D97:H97" si="110">D98-D99</f>
        <v>-29841.32231404959</v>
      </c>
      <c r="E97" s="22">
        <f t="shared" si="110"/>
        <v>-30438.14876033058</v>
      </c>
      <c r="F97" s="22">
        <f t="shared" si="110"/>
        <v>-31046.911735537193</v>
      </c>
      <c r="G97" s="22">
        <f t="shared" si="110"/>
        <v>-31667.849970247935</v>
      </c>
      <c r="H97" s="22">
        <f t="shared" si="110"/>
        <v>-32301.206969652896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 t="s">
        <v>266</v>
      </c>
      <c r="D98" s="22">
        <f t="shared" ref="D98:H98" si="111">-D94</f>
        <v>-25289.25619834711</v>
      </c>
      <c r="E98" s="22">
        <f t="shared" si="111"/>
        <v>-25795.041322314049</v>
      </c>
      <c r="F98" s="22">
        <f t="shared" si="111"/>
        <v>-26310.942148760332</v>
      </c>
      <c r="G98" s="22">
        <f t="shared" si="111"/>
        <v>-26837.160991735538</v>
      </c>
      <c r="H98" s="22">
        <f t="shared" si="111"/>
        <v>-27373.90421157025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6">
        <v>0.18</v>
      </c>
      <c r="C99" s="1" t="s">
        <v>27</v>
      </c>
      <c r="D99" s="22">
        <f t="shared" ref="D99:H99" si="112">-D98*$B$99</f>
        <v>4552.0661157024797</v>
      </c>
      <c r="E99" s="22">
        <f t="shared" si="112"/>
        <v>4643.1074380165292</v>
      </c>
      <c r="F99" s="22">
        <f t="shared" si="112"/>
        <v>4735.9695867768596</v>
      </c>
      <c r="G99" s="22">
        <f t="shared" si="112"/>
        <v>4830.6889785123967</v>
      </c>
      <c r="H99" s="22">
        <f t="shared" si="112"/>
        <v>4927.3027580826447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2"/>
      <c r="E100" s="22"/>
      <c r="F100" s="22"/>
      <c r="G100" s="22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4" t="s">
        <v>87</v>
      </c>
      <c r="D101" s="32">
        <f t="shared" ref="D101:H102" si="113">D93+D97</f>
        <v>758.6776859504098</v>
      </c>
      <c r="E101" s="32">
        <f t="shared" si="113"/>
        <v>773.85123966942047</v>
      </c>
      <c r="F101" s="32">
        <f t="shared" si="113"/>
        <v>789.32826446280887</v>
      </c>
      <c r="G101" s="32">
        <f t="shared" si="113"/>
        <v>805.11482975206673</v>
      </c>
      <c r="H101" s="32">
        <f t="shared" si="113"/>
        <v>821.21712634710639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4"/>
      <c r="C102" s="35" t="s">
        <v>88</v>
      </c>
      <c r="D102" s="77">
        <f t="shared" si="113"/>
        <v>0</v>
      </c>
      <c r="E102" s="77">
        <f t="shared" si="113"/>
        <v>0</v>
      </c>
      <c r="F102" s="77">
        <f t="shared" si="113"/>
        <v>0</v>
      </c>
      <c r="G102" s="77">
        <f t="shared" si="113"/>
        <v>0</v>
      </c>
      <c r="H102" s="77">
        <f t="shared" si="113"/>
        <v>0</v>
      </c>
      <c r="I102" s="53" t="s">
        <v>96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4" t="s">
        <v>97</v>
      </c>
      <c r="C103" s="1" t="s">
        <v>94</v>
      </c>
      <c r="D103" s="22">
        <f>0*(1+D$41)</f>
        <v>0</v>
      </c>
      <c r="E103" s="22">
        <f t="shared" ref="E103:H103" si="114">D103*(1+E$41)</f>
        <v>0</v>
      </c>
      <c r="F103" s="22">
        <f t="shared" si="114"/>
        <v>0</v>
      </c>
      <c r="G103" s="22">
        <f t="shared" si="114"/>
        <v>0</v>
      </c>
      <c r="H103" s="22">
        <f t="shared" si="114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 t="s">
        <v>95</v>
      </c>
      <c r="D104" s="22">
        <f t="shared" ref="D104:H104" si="115">D103/1.21</f>
        <v>0</v>
      </c>
      <c r="E104" s="22">
        <f t="shared" si="115"/>
        <v>0</v>
      </c>
      <c r="F104" s="22">
        <f t="shared" si="115"/>
        <v>0</v>
      </c>
      <c r="G104" s="22">
        <f t="shared" si="115"/>
        <v>0</v>
      </c>
      <c r="H104" s="22">
        <f t="shared" si="115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6">
        <v>0.21</v>
      </c>
      <c r="C105" s="1" t="s">
        <v>27</v>
      </c>
      <c r="D105" s="22">
        <f t="shared" ref="D105:H105" si="116">-(D103-D104)</f>
        <v>0</v>
      </c>
      <c r="E105" s="22">
        <f t="shared" si="116"/>
        <v>0</v>
      </c>
      <c r="F105" s="22">
        <f t="shared" si="116"/>
        <v>0</v>
      </c>
      <c r="G105" s="22">
        <f t="shared" si="116"/>
        <v>0</v>
      </c>
      <c r="H105" s="22">
        <f t="shared" si="116"/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2"/>
      <c r="E106" s="22"/>
      <c r="F106" s="22"/>
      <c r="G106" s="22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8" t="s">
        <v>265</v>
      </c>
      <c r="D107" s="78">
        <v>-15000</v>
      </c>
      <c r="E107" s="78">
        <f>D107*(1+E$41*0)</f>
        <v>-15000</v>
      </c>
      <c r="F107" s="78">
        <f t="shared" ref="F107:H107" si="117">E107*(1+F$41*0)</f>
        <v>-15000</v>
      </c>
      <c r="G107" s="78">
        <f t="shared" si="117"/>
        <v>-15000</v>
      </c>
      <c r="H107" s="78">
        <f t="shared" si="117"/>
        <v>-15000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8" t="s">
        <v>266</v>
      </c>
      <c r="D108" s="78">
        <f t="shared" ref="D108:H108" si="118">D107</f>
        <v>-15000</v>
      </c>
      <c r="E108" s="78">
        <f t="shared" si="118"/>
        <v>-15000</v>
      </c>
      <c r="F108" s="78">
        <f t="shared" si="118"/>
        <v>-15000</v>
      </c>
      <c r="G108" s="78">
        <f t="shared" si="118"/>
        <v>-15000</v>
      </c>
      <c r="H108" s="78">
        <f t="shared" si="118"/>
        <v>-15000</v>
      </c>
      <c r="I108" s="53" t="s">
        <v>98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6">
        <v>0</v>
      </c>
      <c r="C109" s="1" t="s">
        <v>27</v>
      </c>
      <c r="D109" s="22">
        <f t="shared" ref="D109:H109" si="119">-D108*$B$109</f>
        <v>0</v>
      </c>
      <c r="E109" s="22">
        <f t="shared" si="119"/>
        <v>0</v>
      </c>
      <c r="F109" s="22">
        <f t="shared" si="119"/>
        <v>0</v>
      </c>
      <c r="G109" s="22">
        <f t="shared" si="119"/>
        <v>0</v>
      </c>
      <c r="H109" s="22">
        <f t="shared" si="119"/>
        <v>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2"/>
      <c r="E110" s="22"/>
      <c r="F110" s="22"/>
      <c r="G110" s="22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4" t="s">
        <v>87</v>
      </c>
      <c r="D111" s="32">
        <f t="shared" ref="D111:H112" si="120">D103+D107</f>
        <v>-15000</v>
      </c>
      <c r="E111" s="32">
        <f t="shared" si="120"/>
        <v>-15000</v>
      </c>
      <c r="F111" s="32">
        <f t="shared" si="120"/>
        <v>-15000</v>
      </c>
      <c r="G111" s="32">
        <f t="shared" si="120"/>
        <v>-15000</v>
      </c>
      <c r="H111" s="32">
        <f t="shared" si="120"/>
        <v>-15000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4"/>
      <c r="C112" s="35" t="s">
        <v>88</v>
      </c>
      <c r="D112" s="77">
        <f t="shared" si="120"/>
        <v>-15000</v>
      </c>
      <c r="E112" s="77">
        <f t="shared" si="120"/>
        <v>-15000</v>
      </c>
      <c r="F112" s="77">
        <f t="shared" si="120"/>
        <v>-15000</v>
      </c>
      <c r="G112" s="77">
        <f t="shared" si="120"/>
        <v>-15000</v>
      </c>
      <c r="H112" s="77">
        <f t="shared" si="120"/>
        <v>-15000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4" t="s">
        <v>34</v>
      </c>
      <c r="C113" s="18" t="s">
        <v>265</v>
      </c>
      <c r="D113" s="78">
        <f t="shared" ref="D113:H113" si="121">D114-D115</f>
        <v>-14520</v>
      </c>
      <c r="E113" s="78">
        <f t="shared" si="121"/>
        <v>-14520</v>
      </c>
      <c r="F113" s="78">
        <f t="shared" si="121"/>
        <v>-14520</v>
      </c>
      <c r="G113" s="78">
        <f t="shared" si="121"/>
        <v>-14520</v>
      </c>
      <c r="H113" s="78">
        <f t="shared" si="121"/>
        <v>-14520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4"/>
      <c r="C114" s="18" t="s">
        <v>266</v>
      </c>
      <c r="D114" s="78">
        <f>(-500*(29+37)-3000)/3</f>
        <v>-12000</v>
      </c>
      <c r="E114" s="78">
        <f>D114*(1+E$41*0)</f>
        <v>-12000</v>
      </c>
      <c r="F114" s="78">
        <f t="shared" ref="F114:G114" si="122">E114*(1+F$41*0)</f>
        <v>-12000</v>
      </c>
      <c r="G114" s="78">
        <f t="shared" si="122"/>
        <v>-12000</v>
      </c>
      <c r="H114" s="78">
        <f>G114*(1+H$41*0)</f>
        <v>-12000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59">
        <v>0.21</v>
      </c>
      <c r="C115" s="14" t="s">
        <v>27</v>
      </c>
      <c r="D115" s="60">
        <f t="shared" ref="D115:H115" si="123">-D114*$B$115</f>
        <v>2520</v>
      </c>
      <c r="E115" s="60">
        <f t="shared" si="123"/>
        <v>2520</v>
      </c>
      <c r="F115" s="60">
        <f t="shared" si="123"/>
        <v>2520</v>
      </c>
      <c r="G115" s="60">
        <f t="shared" si="123"/>
        <v>2520</v>
      </c>
      <c r="H115" s="60">
        <f t="shared" si="123"/>
        <v>2520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4" t="s">
        <v>36</v>
      </c>
      <c r="C116" s="1" t="s">
        <v>267</v>
      </c>
      <c r="D116" s="22">
        <v>-30000</v>
      </c>
      <c r="E116" s="22">
        <f t="shared" ref="E116:H116" si="124">D116*(1+E$41)</f>
        <v>-30600</v>
      </c>
      <c r="F116" s="22">
        <f t="shared" si="124"/>
        <v>-31212</v>
      </c>
      <c r="G116" s="22">
        <f t="shared" si="124"/>
        <v>-31836.240000000002</v>
      </c>
      <c r="H116" s="22">
        <f t="shared" si="124"/>
        <v>-32472.964800000002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4"/>
      <c r="C117" s="1" t="s">
        <v>268</v>
      </c>
      <c r="D117" s="22">
        <f t="shared" ref="D117:H117" si="125">D116/(1+$B$118)</f>
        <v>-24793.388429752067</v>
      </c>
      <c r="E117" s="22">
        <f t="shared" si="125"/>
        <v>-25289.25619834711</v>
      </c>
      <c r="F117" s="22">
        <f t="shared" si="125"/>
        <v>-25795.041322314049</v>
      </c>
      <c r="G117" s="22">
        <f t="shared" si="125"/>
        <v>-26310.942148760332</v>
      </c>
      <c r="H117" s="22">
        <f t="shared" si="125"/>
        <v>-26837.160991735538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6">
        <v>0.21</v>
      </c>
      <c r="C118" s="1" t="s">
        <v>27</v>
      </c>
      <c r="D118" s="22">
        <f t="shared" ref="D118:H118" si="126">D117-D116</f>
        <v>5206.6115702479328</v>
      </c>
      <c r="E118" s="22">
        <f t="shared" si="126"/>
        <v>5310.7438016528904</v>
      </c>
      <c r="F118" s="22">
        <f t="shared" si="126"/>
        <v>5416.9586776859505</v>
      </c>
      <c r="G118" s="22">
        <f t="shared" si="126"/>
        <v>5525.2978512396694</v>
      </c>
      <c r="H118" s="22">
        <f t="shared" si="126"/>
        <v>5635.8038082644634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4"/>
      <c r="C119" s="1"/>
      <c r="D119" s="22"/>
      <c r="E119" s="22"/>
      <c r="F119" s="22"/>
      <c r="G119" s="22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 t="s">
        <v>269</v>
      </c>
      <c r="D120" s="22">
        <v>-50000</v>
      </c>
      <c r="E120" s="22">
        <f t="shared" ref="E120:H120" si="127">D120*(1+E$41)</f>
        <v>-51000</v>
      </c>
      <c r="F120" s="22">
        <f t="shared" si="127"/>
        <v>-52020</v>
      </c>
      <c r="G120" s="22">
        <f t="shared" si="127"/>
        <v>-53060.4</v>
      </c>
      <c r="H120" s="22">
        <f t="shared" si="127"/>
        <v>-54121.608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 t="s">
        <v>270</v>
      </c>
      <c r="D121" s="22">
        <f t="shared" ref="D121:H121" si="128">D120/(1+$B$122)</f>
        <v>-43478.260869565223</v>
      </c>
      <c r="E121" s="22">
        <f t="shared" si="128"/>
        <v>-44347.826086956527</v>
      </c>
      <c r="F121" s="22">
        <f t="shared" si="128"/>
        <v>-45234.782608695656</v>
      </c>
      <c r="G121" s="22">
        <f t="shared" si="128"/>
        <v>-46139.478260869568</v>
      </c>
      <c r="H121" s="22">
        <f t="shared" si="128"/>
        <v>-47062.267826086958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6">
        <v>0.15</v>
      </c>
      <c r="C122" s="1" t="s">
        <v>27</v>
      </c>
      <c r="D122" s="22">
        <f t="shared" ref="D122:H122" si="129">D121-D120</f>
        <v>6521.7391304347766</v>
      </c>
      <c r="E122" s="22">
        <f t="shared" si="129"/>
        <v>6652.1739130434726</v>
      </c>
      <c r="F122" s="22">
        <f t="shared" si="129"/>
        <v>6785.2173913043443</v>
      </c>
      <c r="G122" s="22">
        <f t="shared" si="129"/>
        <v>6920.9217391304337</v>
      </c>
      <c r="H122" s="22">
        <f t="shared" si="129"/>
        <v>7059.3401739130422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2"/>
      <c r="E123" s="22"/>
      <c r="F123" s="22"/>
      <c r="G123" s="22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4" t="s">
        <v>87</v>
      </c>
      <c r="D124" s="32">
        <f t="shared" ref="D124:H125" si="130">D116+D120</f>
        <v>-80000</v>
      </c>
      <c r="E124" s="32">
        <f t="shared" si="130"/>
        <v>-81600</v>
      </c>
      <c r="F124" s="32">
        <f t="shared" si="130"/>
        <v>-83232</v>
      </c>
      <c r="G124" s="32">
        <f t="shared" si="130"/>
        <v>-84896.639999999999</v>
      </c>
      <c r="H124" s="32">
        <f t="shared" si="130"/>
        <v>-86594.572799999994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4"/>
      <c r="C125" s="35" t="s">
        <v>88</v>
      </c>
      <c r="D125" s="77">
        <f t="shared" si="130"/>
        <v>-68271.649299317287</v>
      </c>
      <c r="E125" s="77">
        <f t="shared" si="130"/>
        <v>-69637.082285303637</v>
      </c>
      <c r="F125" s="77">
        <f t="shared" si="130"/>
        <v>-71029.823931009712</v>
      </c>
      <c r="G125" s="77">
        <f t="shared" si="130"/>
        <v>-72450.420409629907</v>
      </c>
      <c r="H125" s="77">
        <f t="shared" si="130"/>
        <v>-73899.428817822496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4" t="s">
        <v>99</v>
      </c>
      <c r="C126" s="1" t="s">
        <v>271</v>
      </c>
      <c r="D126" s="22">
        <v>-30000</v>
      </c>
      <c r="E126" s="22">
        <f t="shared" ref="E126:H126" si="131">D126*(1+E$41)</f>
        <v>-30600</v>
      </c>
      <c r="F126" s="22">
        <f t="shared" si="131"/>
        <v>-31212</v>
      </c>
      <c r="G126" s="22">
        <f t="shared" si="131"/>
        <v>-31836.240000000002</v>
      </c>
      <c r="H126" s="22">
        <f t="shared" si="131"/>
        <v>-32472.964800000002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4"/>
      <c r="C127" s="1" t="s">
        <v>272</v>
      </c>
      <c r="D127" s="22">
        <f t="shared" ref="D127:H127" si="132">D126/(1+$B$128)</f>
        <v>-26086.956521739132</v>
      </c>
      <c r="E127" s="22">
        <f t="shared" si="132"/>
        <v>-26608.695652173916</v>
      </c>
      <c r="F127" s="22">
        <f t="shared" si="132"/>
        <v>-27140.869565217392</v>
      </c>
      <c r="G127" s="22">
        <f t="shared" si="132"/>
        <v>-27683.686956521742</v>
      </c>
      <c r="H127" s="22">
        <f t="shared" si="132"/>
        <v>-28237.360695652176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6">
        <v>0.15</v>
      </c>
      <c r="C128" s="1" t="s">
        <v>27</v>
      </c>
      <c r="D128" s="22">
        <f t="shared" ref="D128:H128" si="133">D127-D126</f>
        <v>3913.0434782608681</v>
      </c>
      <c r="E128" s="22">
        <f t="shared" si="133"/>
        <v>3991.3043478260843</v>
      </c>
      <c r="F128" s="22">
        <f t="shared" si="133"/>
        <v>4071.1304347826081</v>
      </c>
      <c r="G128" s="22">
        <f t="shared" si="133"/>
        <v>4152.5530434782595</v>
      </c>
      <c r="H128" s="22">
        <f t="shared" si="133"/>
        <v>4235.6041043478253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4"/>
      <c r="C129" s="1"/>
      <c r="D129" s="22"/>
      <c r="E129" s="22"/>
      <c r="F129" s="22"/>
      <c r="G129" s="22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 t="s">
        <v>273</v>
      </c>
      <c r="D130" s="22">
        <v>-20000</v>
      </c>
      <c r="E130" s="22">
        <f t="shared" ref="E130:H130" si="134">D130*(1+E$41)</f>
        <v>-20400</v>
      </c>
      <c r="F130" s="22">
        <f t="shared" si="134"/>
        <v>-20808</v>
      </c>
      <c r="G130" s="22">
        <f t="shared" si="134"/>
        <v>-21224.16</v>
      </c>
      <c r="H130" s="22">
        <f t="shared" si="134"/>
        <v>-21648.643199999999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4"/>
      <c r="C131" s="1" t="s">
        <v>274</v>
      </c>
      <c r="D131" s="22">
        <f t="shared" ref="D131:H131" si="135">D130/(1+$B$132)</f>
        <v>-17391.304347826088</v>
      </c>
      <c r="E131" s="22">
        <f t="shared" si="135"/>
        <v>-17739.130434782612</v>
      </c>
      <c r="F131" s="22">
        <f t="shared" si="135"/>
        <v>-18093.913043478264</v>
      </c>
      <c r="G131" s="22">
        <f t="shared" si="135"/>
        <v>-18455.791304347826</v>
      </c>
      <c r="H131" s="22">
        <f t="shared" si="135"/>
        <v>-18824.907130434782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6">
        <v>0.15</v>
      </c>
      <c r="C132" s="1" t="s">
        <v>27</v>
      </c>
      <c r="D132" s="22">
        <f t="shared" ref="D132:H132" si="136">D131-D130</f>
        <v>2608.6956521739121</v>
      </c>
      <c r="E132" s="22">
        <f t="shared" si="136"/>
        <v>2660.8695652173883</v>
      </c>
      <c r="F132" s="22">
        <f t="shared" si="136"/>
        <v>2714.0869565217363</v>
      </c>
      <c r="G132" s="22">
        <f t="shared" si="136"/>
        <v>2768.3686956521742</v>
      </c>
      <c r="H132" s="22">
        <f t="shared" si="136"/>
        <v>2823.7360695652169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7"/>
      <c r="C133" s="1"/>
      <c r="D133" s="22"/>
      <c r="E133" s="22"/>
      <c r="F133" s="22"/>
      <c r="G133" s="22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7"/>
      <c r="C134" s="24" t="s">
        <v>87</v>
      </c>
      <c r="D134" s="32">
        <f t="shared" ref="D134:H135" si="137">D126+D130</f>
        <v>-50000</v>
      </c>
      <c r="E134" s="32">
        <f t="shared" si="137"/>
        <v>-51000</v>
      </c>
      <c r="F134" s="32">
        <f t="shared" si="137"/>
        <v>-52020</v>
      </c>
      <c r="G134" s="32">
        <f t="shared" si="137"/>
        <v>-53060.4</v>
      </c>
      <c r="H134" s="32">
        <f t="shared" si="137"/>
        <v>-54121.608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4"/>
      <c r="C135" s="35" t="s">
        <v>88</v>
      </c>
      <c r="D135" s="77">
        <f t="shared" si="137"/>
        <v>-43478.260869565216</v>
      </c>
      <c r="E135" s="77">
        <f t="shared" si="137"/>
        <v>-44347.826086956527</v>
      </c>
      <c r="F135" s="77">
        <f t="shared" si="137"/>
        <v>-45234.782608695656</v>
      </c>
      <c r="G135" s="77">
        <f t="shared" si="137"/>
        <v>-46139.478260869568</v>
      </c>
      <c r="H135" s="77">
        <f t="shared" si="137"/>
        <v>-47062.267826086958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4" t="s">
        <v>100</v>
      </c>
      <c r="C136" s="224" t="s">
        <v>263</v>
      </c>
      <c r="D136" s="78">
        <f t="shared" ref="D136:H136" si="138">D137-D138</f>
        <v>-50000</v>
      </c>
      <c r="E136" s="78">
        <f t="shared" si="138"/>
        <v>-50000</v>
      </c>
      <c r="F136" s="78">
        <f t="shared" si="138"/>
        <v>-50000</v>
      </c>
      <c r="G136" s="78">
        <f t="shared" si="138"/>
        <v>-50000</v>
      </c>
      <c r="H136" s="78">
        <f t="shared" si="138"/>
        <v>-50000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4"/>
      <c r="C137" s="224" t="s">
        <v>264</v>
      </c>
      <c r="D137" s="78">
        <v>-50000</v>
      </c>
      <c r="E137" s="78">
        <f>D137*(1+E$41*0)</f>
        <v>-50000</v>
      </c>
      <c r="F137" s="78">
        <f t="shared" ref="F137:H137" si="139">E137*(1+F$41*0)</f>
        <v>-50000</v>
      </c>
      <c r="G137" s="78">
        <f t="shared" si="139"/>
        <v>-50000</v>
      </c>
      <c r="H137" s="78">
        <f t="shared" si="139"/>
        <v>-50000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59">
        <v>0</v>
      </c>
      <c r="C138" s="14" t="s">
        <v>27</v>
      </c>
      <c r="D138" s="60">
        <f t="shared" ref="D138:H138" si="140">-D137*$B$138</f>
        <v>0</v>
      </c>
      <c r="E138" s="60">
        <f t="shared" si="140"/>
        <v>0</v>
      </c>
      <c r="F138" s="60">
        <f t="shared" si="140"/>
        <v>0</v>
      </c>
      <c r="G138" s="60">
        <f t="shared" si="140"/>
        <v>0</v>
      </c>
      <c r="H138" s="60">
        <f t="shared" si="140"/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79" t="s">
        <v>101</v>
      </c>
      <c r="C139" s="225" t="s">
        <v>263</v>
      </c>
      <c r="D139" s="80">
        <f t="shared" ref="D139:H139" si="141">D140-D141</f>
        <v>-57500</v>
      </c>
      <c r="E139" s="80">
        <f t="shared" si="141"/>
        <v>-42228</v>
      </c>
      <c r="F139" s="80">
        <f t="shared" si="141"/>
        <v>-43072.56</v>
      </c>
      <c r="G139" s="80">
        <f t="shared" si="141"/>
        <v>-43934.011200000008</v>
      </c>
      <c r="H139" s="80">
        <f t="shared" si="141"/>
        <v>-44812.691424000004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22" t="s">
        <v>264</v>
      </c>
      <c r="D140" s="22">
        <f>-12*3000-14000</f>
        <v>-50000</v>
      </c>
      <c r="E140" s="22">
        <f>-12*3000*(1+E$41)</f>
        <v>-36720</v>
      </c>
      <c r="F140" s="22">
        <f t="shared" ref="F140:H140" si="142">E140*(1+F$41)</f>
        <v>-37454.400000000001</v>
      </c>
      <c r="G140" s="22">
        <f t="shared" si="142"/>
        <v>-38203.488000000005</v>
      </c>
      <c r="H140" s="22">
        <f t="shared" si="142"/>
        <v>-38967.557760000003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59">
        <v>0.15</v>
      </c>
      <c r="C141" s="14" t="s">
        <v>27</v>
      </c>
      <c r="D141" s="60">
        <f t="shared" ref="D141:H141" si="143">-D140*$B$141</f>
        <v>7500</v>
      </c>
      <c r="E141" s="60">
        <f t="shared" si="143"/>
        <v>5508</v>
      </c>
      <c r="F141" s="60">
        <f t="shared" si="143"/>
        <v>5618.16</v>
      </c>
      <c r="G141" s="60">
        <f t="shared" si="143"/>
        <v>5730.5232000000005</v>
      </c>
      <c r="H141" s="60">
        <f t="shared" si="143"/>
        <v>5845.133664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79" t="s">
        <v>40</v>
      </c>
      <c r="C142" s="16" t="s">
        <v>66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4"/>
      <c r="C143" s="1" t="s">
        <v>102</v>
      </c>
      <c r="D143" s="22">
        <f t="shared" ref="D143:H143" si="144">D142+D144</f>
        <v>0</v>
      </c>
      <c r="E143" s="22">
        <f t="shared" si="144"/>
        <v>0</v>
      </c>
      <c r="F143" s="22">
        <f t="shared" si="144"/>
        <v>0</v>
      </c>
      <c r="G143" s="22">
        <f t="shared" si="144"/>
        <v>0</v>
      </c>
      <c r="H143" s="22">
        <f t="shared" si="144"/>
        <v>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59">
        <v>0.21</v>
      </c>
      <c r="C144" s="14" t="s">
        <v>27</v>
      </c>
      <c r="D144" s="60">
        <f t="shared" ref="D144:H144" si="145">-D142*$B$144</f>
        <v>0</v>
      </c>
      <c r="E144" s="60">
        <f t="shared" si="145"/>
        <v>0</v>
      </c>
      <c r="F144" s="60">
        <f t="shared" si="145"/>
        <v>0</v>
      </c>
      <c r="G144" s="60">
        <f t="shared" si="145"/>
        <v>0</v>
      </c>
      <c r="H144" s="60">
        <f t="shared" si="145"/>
        <v>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4" t="s">
        <v>39</v>
      </c>
      <c r="C145" s="1" t="s">
        <v>275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 t="s">
        <v>266</v>
      </c>
      <c r="D146" s="22">
        <f t="shared" ref="D146:H146" si="146">D145+D147</f>
        <v>0</v>
      </c>
      <c r="E146" s="22">
        <f t="shared" si="146"/>
        <v>0</v>
      </c>
      <c r="F146" s="22">
        <f t="shared" si="146"/>
        <v>0</v>
      </c>
      <c r="G146" s="22">
        <f t="shared" si="146"/>
        <v>0</v>
      </c>
      <c r="H146" s="22">
        <f t="shared" si="146"/>
        <v>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59">
        <v>0.15</v>
      </c>
      <c r="C147" s="14" t="s">
        <v>27</v>
      </c>
      <c r="D147" s="60">
        <f t="shared" ref="D147:H147" si="147">-D145*$B$147</f>
        <v>0</v>
      </c>
      <c r="E147" s="60">
        <f t="shared" si="147"/>
        <v>0</v>
      </c>
      <c r="F147" s="60">
        <f t="shared" si="147"/>
        <v>0</v>
      </c>
      <c r="G147" s="60">
        <f t="shared" si="147"/>
        <v>0</v>
      </c>
      <c r="H147" s="60">
        <f t="shared" si="147"/>
        <v>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4" t="s">
        <v>27</v>
      </c>
      <c r="C148" s="1" t="s">
        <v>103</v>
      </c>
      <c r="D148" s="22">
        <v>90000</v>
      </c>
      <c r="E148" s="22">
        <v>0</v>
      </c>
      <c r="F148" s="22">
        <v>0</v>
      </c>
      <c r="G148" s="22">
        <v>0</v>
      </c>
      <c r="H148" s="22">
        <v>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2"/>
      <c r="E149" s="22"/>
      <c r="F149" s="22"/>
      <c r="G149" s="22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E31" sqref="E31"/>
    </sheetView>
  </sheetViews>
  <sheetFormatPr defaultColWidth="12.625" defaultRowHeight="15" customHeight="1" x14ac:dyDescent="0.2"/>
  <cols>
    <col min="1" max="1" width="8" customWidth="1"/>
    <col min="2" max="2" width="51.625" customWidth="1"/>
    <col min="3" max="3" width="11.875" customWidth="1"/>
    <col min="4" max="4" width="12.125" customWidth="1"/>
    <col min="5" max="5" width="12.25" customWidth="1"/>
    <col min="6" max="6" width="12.5" customWidth="1"/>
    <col min="7" max="26" width="7.625" customWidth="1"/>
  </cols>
  <sheetData>
    <row r="1" spans="1:26" x14ac:dyDescent="0.25">
      <c r="A1" s="178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4" t="s">
        <v>92</v>
      </c>
      <c r="C3" s="22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B4" s="61"/>
      <c r="C4" s="62" t="s">
        <v>234</v>
      </c>
      <c r="D4" s="62" t="s">
        <v>235</v>
      </c>
      <c r="E4" s="62" t="s">
        <v>236</v>
      </c>
      <c r="F4" s="62" t="s">
        <v>237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74" t="s">
        <v>47</v>
      </c>
      <c r="C5" s="175">
        <f>BP_Actuaria_2020!K80</f>
        <v>130.5</v>
      </c>
      <c r="D5" s="175">
        <f>BP_Actuaria_2020!L80</f>
        <v>123.828</v>
      </c>
      <c r="E5" s="175">
        <f>'BP_Actuaria_2020_bez úpravy'!K80</f>
        <v>130.5</v>
      </c>
      <c r="F5" s="175">
        <f>'BP_Actuaria_2020_bez úpravy'!L80</f>
        <v>123.828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74" t="s">
        <v>48</v>
      </c>
      <c r="C6" s="175">
        <f>BP_Actuaria_2020!K81</f>
        <v>107</v>
      </c>
      <c r="D6" s="175">
        <f>BP_Actuaria_2020!L81</f>
        <v>103.02</v>
      </c>
      <c r="E6" s="175">
        <f>'BP_Actuaria_2020_bez úpravy'!K81</f>
        <v>53.5</v>
      </c>
      <c r="F6" s="175">
        <f>'BP_Actuaria_2020_bez úpravy'!L81</f>
        <v>103.02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74" t="s">
        <v>49</v>
      </c>
      <c r="C7" s="175">
        <f>BP_Actuaria_2020!K82</f>
        <v>4</v>
      </c>
      <c r="D7" s="175">
        <f>BP_Actuaria_2020!L82</f>
        <v>35.496000000000002</v>
      </c>
      <c r="E7" s="175">
        <f>'BP_Actuaria_2020_bez úpravy'!K82</f>
        <v>4</v>
      </c>
      <c r="F7" s="175">
        <f>'BP_Actuaria_2020_bez úpravy'!L82</f>
        <v>35.496000000000002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74" t="s">
        <v>238</v>
      </c>
      <c r="C8" s="175">
        <f>D7-C7</f>
        <v>31.496000000000002</v>
      </c>
      <c r="D8" s="175">
        <v>0</v>
      </c>
      <c r="E8" s="175">
        <f>F7-E7</f>
        <v>31.496000000000002</v>
      </c>
      <c r="F8" s="175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74" t="s">
        <v>50</v>
      </c>
      <c r="C9" s="175">
        <f>BP_Actuaria_2020!K83</f>
        <v>120.59345620050811</v>
      </c>
      <c r="D9" s="175">
        <f>BP_Actuaria_2020!L83</f>
        <v>79.52</v>
      </c>
      <c r="E9" s="175">
        <f>'BP_Actuaria_2020_bez úpravy'!K83</f>
        <v>120.59345620050811</v>
      </c>
      <c r="F9" s="175">
        <f>'BP_Actuaria_2020_bez úpravy'!L83</f>
        <v>79.52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74" t="s">
        <v>51</v>
      </c>
      <c r="C10" s="175">
        <f>BP_Actuaria_2020!K84</f>
        <v>0</v>
      </c>
      <c r="D10" s="175">
        <f>BP_Actuaria_2020!L84</f>
        <v>51</v>
      </c>
      <c r="E10" s="175">
        <f>'BP_Actuaria_2020_bez úpravy'!K84</f>
        <v>0</v>
      </c>
      <c r="F10" s="175">
        <f>'BP_Actuaria_2020_bez úpravy'!L84</f>
        <v>51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74" t="s">
        <v>43</v>
      </c>
      <c r="C11" s="175">
        <f>BP_Actuaria_2020!K85</f>
        <v>0</v>
      </c>
      <c r="D11" s="175">
        <f>BP_Actuaria_2020!L85</f>
        <v>0</v>
      </c>
      <c r="E11" s="175">
        <f>'BP_Actuaria_2020_bez úpravy'!K85</f>
        <v>0</v>
      </c>
      <c r="F11" s="175">
        <f>'BP_Actuaria_2020_bez úpravy'!L85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76" t="s">
        <v>76</v>
      </c>
      <c r="C12" s="177">
        <f>MAX(C13-D13,0)</f>
        <v>0.72545620050811976</v>
      </c>
      <c r="D12" s="177">
        <f>MAX(D13-C13,0)</f>
        <v>0</v>
      </c>
      <c r="E12" s="177">
        <f>MAX(E13-D13,0)</f>
        <v>0</v>
      </c>
      <c r="F12" s="177">
        <f>MAX(F13-E13,0)</f>
        <v>52.774543799491823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 t="s">
        <v>68</v>
      </c>
      <c r="C13" s="22">
        <f t="shared" ref="C13:F13" si="0">SUM(C5:C11)</f>
        <v>393.5894562005081</v>
      </c>
      <c r="D13" s="22">
        <f t="shared" si="0"/>
        <v>392.86399999999998</v>
      </c>
      <c r="E13" s="22">
        <f t="shared" si="0"/>
        <v>340.08945620050815</v>
      </c>
      <c r="F13" s="22">
        <f t="shared" si="0"/>
        <v>392.86399999999998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233A-9F11-4188-A17D-92D198D37E27}">
  <sheetPr>
    <tabColor theme="0" tint="-0.249977111117893"/>
    <pageSetUpPr fitToPage="1"/>
  </sheetPr>
  <dimension ref="A1:Z1000"/>
  <sheetViews>
    <sheetView showGridLines="0" workbookViewId="0">
      <pane xSplit="3" ySplit="2" topLeftCell="D104" activePane="bottomRight" state="frozen"/>
      <selection pane="topRight" activeCell="D1" sqref="D1"/>
      <selection pane="bottomLeft" activeCell="A3" sqref="A3"/>
      <selection pane="bottomRight" activeCell="B137" sqref="B137"/>
    </sheetView>
  </sheetViews>
  <sheetFormatPr defaultColWidth="12.625" defaultRowHeight="15" customHeight="1" x14ac:dyDescent="0.2"/>
  <cols>
    <col min="1" max="1" width="5.375" customWidth="1"/>
    <col min="2" max="2" width="19.75" customWidth="1"/>
    <col min="3" max="3" width="21" customWidth="1"/>
    <col min="4" max="7" width="8" customWidth="1"/>
    <col min="8" max="8" width="8.375" customWidth="1"/>
    <col min="9" max="9" width="8" customWidth="1"/>
    <col min="10" max="10" width="39.25" customWidth="1"/>
    <col min="11" max="16" width="8" customWidth="1"/>
    <col min="17" max="17" width="19.375" customWidth="1"/>
    <col min="18" max="22" width="8" customWidth="1"/>
    <col min="23" max="26" width="7.625" customWidth="1"/>
  </cols>
  <sheetData>
    <row r="1" spans="1:26" ht="15.75" x14ac:dyDescent="0.25">
      <c r="A1" s="4" t="s">
        <v>24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x14ac:dyDescent="0.25">
      <c r="A2" s="7"/>
      <c r="B2" s="8"/>
      <c r="C2" s="9" t="s">
        <v>25</v>
      </c>
      <c r="D2" s="10">
        <v>2020</v>
      </c>
      <c r="E2" s="10">
        <v>2021</v>
      </c>
      <c r="F2" s="10">
        <v>2022</v>
      </c>
      <c r="G2" s="10">
        <v>2023</v>
      </c>
      <c r="H2" s="10">
        <v>2024</v>
      </c>
      <c r="I2" s="7"/>
      <c r="J2" s="9" t="s">
        <v>26</v>
      </c>
      <c r="K2" s="10">
        <v>2020</v>
      </c>
      <c r="L2" s="10">
        <v>2021</v>
      </c>
      <c r="M2" s="10">
        <v>2022</v>
      </c>
      <c r="N2" s="10">
        <v>2023</v>
      </c>
      <c r="O2" s="10">
        <v>2024</v>
      </c>
      <c r="P2" s="1"/>
      <c r="Q2" s="9" t="s">
        <v>27</v>
      </c>
      <c r="R2" s="10">
        <v>2020</v>
      </c>
      <c r="S2" s="10">
        <v>2021</v>
      </c>
      <c r="T2" s="10">
        <v>2022</v>
      </c>
      <c r="U2" s="10">
        <v>2023</v>
      </c>
      <c r="V2" s="10">
        <v>2024</v>
      </c>
      <c r="W2" s="7"/>
      <c r="X2" s="7"/>
      <c r="Y2" s="7"/>
      <c r="Z2" s="7"/>
    </row>
    <row r="3" spans="1:26" x14ac:dyDescent="0.25">
      <c r="A3" s="1"/>
      <c r="B3" s="1"/>
      <c r="C3" s="11" t="s">
        <v>28</v>
      </c>
      <c r="D3" s="12"/>
      <c r="E3" s="12"/>
      <c r="F3" s="12"/>
      <c r="G3" s="12"/>
      <c r="H3" s="12"/>
      <c r="I3" s="1"/>
      <c r="J3" s="11" t="s">
        <v>28</v>
      </c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3"/>
      <c r="E4" s="13"/>
      <c r="F4" s="13"/>
      <c r="G4" s="1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 t="s">
        <v>29</v>
      </c>
      <c r="D5" s="13">
        <f t="shared" ref="D5:H5" si="0">D72</f>
        <v>204250</v>
      </c>
      <c r="E5" s="13">
        <f t="shared" si="0"/>
        <v>241500</v>
      </c>
      <c r="F5" s="13">
        <f t="shared" si="0"/>
        <v>254000</v>
      </c>
      <c r="G5" s="13">
        <f t="shared" si="0"/>
        <v>270500</v>
      </c>
      <c r="H5" s="13">
        <f t="shared" si="0"/>
        <v>287000</v>
      </c>
      <c r="I5" s="1"/>
      <c r="J5" s="1" t="s">
        <v>29</v>
      </c>
      <c r="K5" s="13">
        <f t="shared" ref="K5:O5" si="1">D73</f>
        <v>168801.65289256198</v>
      </c>
      <c r="L5" s="13">
        <f t="shared" si="1"/>
        <v>199586.77685950414</v>
      </c>
      <c r="M5" s="13">
        <f t="shared" si="1"/>
        <v>209917.35537190083</v>
      </c>
      <c r="N5" s="13">
        <f t="shared" si="1"/>
        <v>223553.71900826448</v>
      </c>
      <c r="O5" s="13">
        <f t="shared" si="1"/>
        <v>237190.0826446281</v>
      </c>
      <c r="P5" s="1"/>
      <c r="Q5" s="1" t="s">
        <v>29</v>
      </c>
      <c r="R5" s="13">
        <f t="shared" ref="R5:V5" si="2">D74</f>
        <v>-35448.347107438021</v>
      </c>
      <c r="S5" s="13">
        <f t="shared" si="2"/>
        <v>-41913.223140495858</v>
      </c>
      <c r="T5" s="13">
        <f t="shared" si="2"/>
        <v>-44082.644628099166</v>
      </c>
      <c r="U5" s="13">
        <f t="shared" si="2"/>
        <v>-46946.280991735519</v>
      </c>
      <c r="V5" s="13">
        <f t="shared" si="2"/>
        <v>-49809.917355371901</v>
      </c>
      <c r="W5" s="1"/>
      <c r="X5" s="1"/>
      <c r="Y5" s="1"/>
      <c r="Z5" s="1"/>
    </row>
    <row r="6" spans="1:26" x14ac:dyDescent="0.25">
      <c r="A6" s="1"/>
      <c r="B6" s="1"/>
      <c r="C6" s="14" t="s">
        <v>30</v>
      </c>
      <c r="D6" s="15">
        <f t="shared" ref="D6:H6" si="3">D79</f>
        <v>-124700</v>
      </c>
      <c r="E6" s="15">
        <f t="shared" si="3"/>
        <v>-138516</v>
      </c>
      <c r="F6" s="15">
        <f t="shared" si="3"/>
        <v>-141286.32</v>
      </c>
      <c r="G6" s="15">
        <f t="shared" si="3"/>
        <v>-144112.04639999999</v>
      </c>
      <c r="H6" s="15">
        <f t="shared" si="3"/>
        <v>-146994.28732800001</v>
      </c>
      <c r="I6" s="1"/>
      <c r="J6" s="14" t="s">
        <v>30</v>
      </c>
      <c r="K6" s="15">
        <f t="shared" ref="K6:O6" si="4">D80</f>
        <v>-103057.85123966943</v>
      </c>
      <c r="L6" s="15">
        <f t="shared" si="4"/>
        <v>-114476.03305785124</v>
      </c>
      <c r="M6" s="15">
        <f t="shared" si="4"/>
        <v>-116765.55371900827</v>
      </c>
      <c r="N6" s="15">
        <f t="shared" si="4"/>
        <v>-119100.86479338842</v>
      </c>
      <c r="O6" s="15">
        <f t="shared" si="4"/>
        <v>-121482.88208925621</v>
      </c>
      <c r="P6" s="1"/>
      <c r="Q6" s="14" t="s">
        <v>30</v>
      </c>
      <c r="R6" s="15">
        <f t="shared" ref="R6:V6" si="5">D81</f>
        <v>21642.148760330572</v>
      </c>
      <c r="S6" s="15">
        <f t="shared" si="5"/>
        <v>24039.966942148763</v>
      </c>
      <c r="T6" s="15">
        <f t="shared" si="5"/>
        <v>24520.766280991738</v>
      </c>
      <c r="U6" s="15">
        <f t="shared" si="5"/>
        <v>25011.181606611572</v>
      </c>
      <c r="V6" s="15">
        <f t="shared" si="5"/>
        <v>25511.405238743799</v>
      </c>
      <c r="W6" s="1"/>
      <c r="X6" s="1"/>
      <c r="Y6" s="1"/>
      <c r="Z6" s="1"/>
    </row>
    <row r="7" spans="1:26" x14ac:dyDescent="0.25">
      <c r="A7" s="1"/>
      <c r="B7" s="1"/>
      <c r="C7" s="16" t="s">
        <v>31</v>
      </c>
      <c r="D7" s="17">
        <f t="shared" ref="D7:H7" si="6">D91</f>
        <v>119819.60496083868</v>
      </c>
      <c r="E7" s="17">
        <f t="shared" si="6"/>
        <v>119819.60496083868</v>
      </c>
      <c r="F7" s="17">
        <f t="shared" si="6"/>
        <v>119819.60496083868</v>
      </c>
      <c r="G7" s="17">
        <f t="shared" si="6"/>
        <v>119819.60496083868</v>
      </c>
      <c r="H7" s="17">
        <f t="shared" si="6"/>
        <v>119819.60496083868</v>
      </c>
      <c r="I7" s="1"/>
      <c r="J7" s="16" t="s">
        <v>31</v>
      </c>
      <c r="K7" s="13">
        <f t="shared" ref="K7:O7" si="7">D92</f>
        <v>85382.612252606719</v>
      </c>
      <c r="L7" s="13">
        <f t="shared" si="7"/>
        <v>85382.612252606719</v>
      </c>
      <c r="M7" s="13">
        <f t="shared" si="7"/>
        <v>85382.612252606719</v>
      </c>
      <c r="N7" s="13">
        <f t="shared" si="7"/>
        <v>85382.612252606719</v>
      </c>
      <c r="O7" s="13">
        <f t="shared" si="7"/>
        <v>85382.612252606719</v>
      </c>
      <c r="P7" s="1"/>
      <c r="Q7" s="1" t="s">
        <v>31</v>
      </c>
      <c r="R7" s="13">
        <f t="shared" ref="R7:V7" si="8">D85+D89</f>
        <v>-34436.992708231963</v>
      </c>
      <c r="S7" s="13">
        <f t="shared" si="8"/>
        <v>-34436.992708231963</v>
      </c>
      <c r="T7" s="13">
        <f t="shared" si="8"/>
        <v>-34436.992708231963</v>
      </c>
      <c r="U7" s="13">
        <f t="shared" si="8"/>
        <v>-34436.992708231963</v>
      </c>
      <c r="V7" s="13">
        <f t="shared" si="8"/>
        <v>-34436.992708231963</v>
      </c>
      <c r="W7" s="1"/>
      <c r="X7" s="1"/>
      <c r="Y7" s="1"/>
      <c r="Z7" s="1"/>
    </row>
    <row r="8" spans="1:26" x14ac:dyDescent="0.25">
      <c r="A8" s="1"/>
      <c r="B8" s="1"/>
      <c r="C8" s="1" t="s">
        <v>32</v>
      </c>
      <c r="D8" s="13">
        <f t="shared" ref="D8:H8" si="9">D101</f>
        <v>0</v>
      </c>
      <c r="E8" s="13">
        <f t="shared" si="9"/>
        <v>0</v>
      </c>
      <c r="F8" s="13">
        <f t="shared" si="9"/>
        <v>0</v>
      </c>
      <c r="G8" s="13">
        <f t="shared" si="9"/>
        <v>0</v>
      </c>
      <c r="H8" s="13">
        <f t="shared" si="9"/>
        <v>0</v>
      </c>
      <c r="I8" s="1"/>
      <c r="J8" s="1" t="s">
        <v>32</v>
      </c>
      <c r="K8" s="13">
        <f t="shared" ref="K8:O8" si="10">D102</f>
        <v>0</v>
      </c>
      <c r="L8" s="13">
        <f t="shared" si="10"/>
        <v>0</v>
      </c>
      <c r="M8" s="13">
        <f t="shared" si="10"/>
        <v>0</v>
      </c>
      <c r="N8" s="13">
        <f t="shared" si="10"/>
        <v>0</v>
      </c>
      <c r="O8" s="13">
        <f t="shared" si="10"/>
        <v>0</v>
      </c>
      <c r="P8" s="1"/>
      <c r="Q8" s="1" t="s">
        <v>32</v>
      </c>
      <c r="R8" s="13">
        <f t="shared" ref="R8:V8" si="11">D95+D99</f>
        <v>0</v>
      </c>
      <c r="S8" s="13">
        <f t="shared" si="11"/>
        <v>0</v>
      </c>
      <c r="T8" s="13">
        <f t="shared" si="11"/>
        <v>0</v>
      </c>
      <c r="U8" s="13">
        <f t="shared" si="11"/>
        <v>0</v>
      </c>
      <c r="V8" s="13">
        <f t="shared" si="11"/>
        <v>0</v>
      </c>
      <c r="W8" s="1"/>
      <c r="X8" s="1"/>
      <c r="Y8" s="1"/>
      <c r="Z8" s="1"/>
    </row>
    <row r="9" spans="1:26" x14ac:dyDescent="0.25">
      <c r="A9" s="1"/>
      <c r="B9" s="1"/>
      <c r="C9" s="18" t="s">
        <v>33</v>
      </c>
      <c r="D9" s="19">
        <f t="shared" ref="D9:H9" si="12">D111</f>
        <v>-15000</v>
      </c>
      <c r="E9" s="19">
        <f t="shared" si="12"/>
        <v>-15000</v>
      </c>
      <c r="F9" s="19">
        <f t="shared" si="12"/>
        <v>-15000</v>
      </c>
      <c r="G9" s="19">
        <f t="shared" si="12"/>
        <v>-15000</v>
      </c>
      <c r="H9" s="19">
        <f t="shared" si="12"/>
        <v>-15000</v>
      </c>
      <c r="I9" s="1"/>
      <c r="J9" s="18" t="s">
        <v>33</v>
      </c>
      <c r="K9" s="19">
        <f t="shared" ref="K9:O9" si="13">D112</f>
        <v>-12396.694214876034</v>
      </c>
      <c r="L9" s="19">
        <f t="shared" si="13"/>
        <v>-12396.694214876034</v>
      </c>
      <c r="M9" s="19">
        <f t="shared" si="13"/>
        <v>-12396.694214876034</v>
      </c>
      <c r="N9" s="19">
        <f t="shared" si="13"/>
        <v>-12396.694214876034</v>
      </c>
      <c r="O9" s="19">
        <f t="shared" si="13"/>
        <v>-12396.694214876034</v>
      </c>
      <c r="P9" s="1"/>
      <c r="Q9" s="18" t="s">
        <v>33</v>
      </c>
      <c r="R9" s="19">
        <f t="shared" ref="R9:V9" si="14">D105+D109</f>
        <v>2603.3057851239669</v>
      </c>
      <c r="S9" s="19">
        <f t="shared" si="14"/>
        <v>2603.3057851239669</v>
      </c>
      <c r="T9" s="19">
        <f t="shared" si="14"/>
        <v>2603.3057851239669</v>
      </c>
      <c r="U9" s="19">
        <f t="shared" si="14"/>
        <v>2603.3057851239669</v>
      </c>
      <c r="V9" s="19">
        <f t="shared" si="14"/>
        <v>2603.3057851239669</v>
      </c>
      <c r="W9" s="1"/>
      <c r="X9" s="1"/>
      <c r="Y9" s="1"/>
      <c r="Z9" s="1"/>
    </row>
    <row r="10" spans="1:26" x14ac:dyDescent="0.25">
      <c r="A10" s="1"/>
      <c r="B10" s="1"/>
      <c r="C10" s="18" t="s">
        <v>34</v>
      </c>
      <c r="D10" s="19">
        <f t="shared" ref="D10:H10" si="15">D113</f>
        <v>-14520</v>
      </c>
      <c r="E10" s="19">
        <f t="shared" si="15"/>
        <v>-14520</v>
      </c>
      <c r="F10" s="19">
        <f t="shared" si="15"/>
        <v>-14520</v>
      </c>
      <c r="G10" s="19">
        <f t="shared" si="15"/>
        <v>-14520</v>
      </c>
      <c r="H10" s="19">
        <f t="shared" si="15"/>
        <v>-14520</v>
      </c>
      <c r="I10" s="1"/>
      <c r="J10" s="18" t="s">
        <v>34</v>
      </c>
      <c r="K10" s="19">
        <f t="shared" ref="K10:O10" si="16">D114</f>
        <v>-12000</v>
      </c>
      <c r="L10" s="19">
        <f t="shared" si="16"/>
        <v>-12000</v>
      </c>
      <c r="M10" s="19">
        <f t="shared" si="16"/>
        <v>-12000</v>
      </c>
      <c r="N10" s="19">
        <f t="shared" si="16"/>
        <v>-12000</v>
      </c>
      <c r="O10" s="19">
        <f t="shared" si="16"/>
        <v>-12000</v>
      </c>
      <c r="P10" s="1"/>
      <c r="Q10" s="18" t="s">
        <v>34</v>
      </c>
      <c r="R10" s="19">
        <f t="shared" ref="R10:V10" si="17">D115</f>
        <v>2520</v>
      </c>
      <c r="S10" s="19">
        <f t="shared" si="17"/>
        <v>2520</v>
      </c>
      <c r="T10" s="19">
        <f t="shared" si="17"/>
        <v>2520</v>
      </c>
      <c r="U10" s="19">
        <f t="shared" si="17"/>
        <v>2520</v>
      </c>
      <c r="V10" s="19">
        <f t="shared" si="17"/>
        <v>2520</v>
      </c>
      <c r="W10" s="1"/>
      <c r="X10" s="1"/>
      <c r="Y10" s="1"/>
      <c r="Z10" s="1"/>
    </row>
    <row r="11" spans="1:26" x14ac:dyDescent="0.25">
      <c r="A11" s="1"/>
      <c r="B11" s="1"/>
      <c r="C11" s="20" t="s">
        <v>35</v>
      </c>
      <c r="D11" s="21">
        <f t="shared" ref="D11:H11" si="18">D136</f>
        <v>-50000</v>
      </c>
      <c r="E11" s="21">
        <f t="shared" si="18"/>
        <v>-50000</v>
      </c>
      <c r="F11" s="21">
        <f t="shared" si="18"/>
        <v>-50000</v>
      </c>
      <c r="G11" s="21">
        <f t="shared" si="18"/>
        <v>-50000</v>
      </c>
      <c r="H11" s="21">
        <f t="shared" si="18"/>
        <v>-50000</v>
      </c>
      <c r="I11" s="1"/>
      <c r="J11" s="20" t="s">
        <v>35</v>
      </c>
      <c r="K11" s="21">
        <f t="shared" ref="K11:O11" si="19">D137</f>
        <v>-41322.314049586777</v>
      </c>
      <c r="L11" s="21">
        <f t="shared" si="19"/>
        <v>-41322.314049586777</v>
      </c>
      <c r="M11" s="21">
        <f t="shared" si="19"/>
        <v>-41322.314049586777</v>
      </c>
      <c r="N11" s="21">
        <f t="shared" si="19"/>
        <v>-41322.314049586777</v>
      </c>
      <c r="O11" s="21">
        <f t="shared" si="19"/>
        <v>-41322.314049586777</v>
      </c>
      <c r="P11" s="1"/>
      <c r="Q11" s="20" t="s">
        <v>35</v>
      </c>
      <c r="R11" s="21">
        <f t="shared" ref="R11:V11" si="20">D138</f>
        <v>8677.6859504132226</v>
      </c>
      <c r="S11" s="21">
        <f t="shared" si="20"/>
        <v>8677.6859504132226</v>
      </c>
      <c r="T11" s="21">
        <f t="shared" si="20"/>
        <v>8677.6859504132226</v>
      </c>
      <c r="U11" s="21">
        <f t="shared" si="20"/>
        <v>8677.6859504132226</v>
      </c>
      <c r="V11" s="21">
        <f t="shared" si="20"/>
        <v>8677.6859504132226</v>
      </c>
      <c r="W11" s="1"/>
      <c r="X11" s="1"/>
      <c r="Y11" s="1"/>
      <c r="Z11" s="1"/>
    </row>
    <row r="12" spans="1:26" x14ac:dyDescent="0.25">
      <c r="A12" s="1"/>
      <c r="B12" s="1"/>
      <c r="C12" s="1" t="s">
        <v>36</v>
      </c>
      <c r="D12" s="13">
        <f t="shared" ref="D12:H12" si="21">D124</f>
        <v>-80000</v>
      </c>
      <c r="E12" s="13">
        <f t="shared" si="21"/>
        <v>-81600</v>
      </c>
      <c r="F12" s="13">
        <f t="shared" si="21"/>
        <v>-83232</v>
      </c>
      <c r="G12" s="13">
        <f t="shared" si="21"/>
        <v>-84896.639999999999</v>
      </c>
      <c r="H12" s="13">
        <f t="shared" si="21"/>
        <v>-86594.572799999994</v>
      </c>
      <c r="I12" s="1"/>
      <c r="J12" s="1" t="s">
        <v>36</v>
      </c>
      <c r="K12" s="13">
        <f t="shared" ref="K12:O12" si="22">D125</f>
        <v>-66115.702479338841</v>
      </c>
      <c r="L12" s="13">
        <f t="shared" si="22"/>
        <v>-67438.016528925626</v>
      </c>
      <c r="M12" s="13">
        <f t="shared" si="22"/>
        <v>-68786.776859504142</v>
      </c>
      <c r="N12" s="13">
        <f t="shared" si="22"/>
        <v>-70162.512396694219</v>
      </c>
      <c r="O12" s="13">
        <f t="shared" si="22"/>
        <v>-71565.762644628092</v>
      </c>
      <c r="P12" s="1"/>
      <c r="Q12" s="1" t="s">
        <v>36</v>
      </c>
      <c r="R12" s="13">
        <f t="shared" ref="R12:V12" si="23">D118+D122</f>
        <v>13884.297520661155</v>
      </c>
      <c r="S12" s="13">
        <f t="shared" si="23"/>
        <v>14161.983471074374</v>
      </c>
      <c r="T12" s="13">
        <f t="shared" si="23"/>
        <v>14445.223140495866</v>
      </c>
      <c r="U12" s="13">
        <f t="shared" si="23"/>
        <v>14734.127603305784</v>
      </c>
      <c r="V12" s="13">
        <f t="shared" si="23"/>
        <v>15028.810155371903</v>
      </c>
      <c r="W12" s="1"/>
      <c r="X12" s="1"/>
      <c r="Y12" s="1"/>
      <c r="Z12" s="1"/>
    </row>
    <row r="13" spans="1:26" x14ac:dyDescent="0.25">
      <c r="A13" s="1"/>
      <c r="B13" s="1"/>
      <c r="C13" s="1" t="s">
        <v>37</v>
      </c>
      <c r="D13" s="13">
        <f t="shared" ref="D13:H13" si="24">D134</f>
        <v>-50000</v>
      </c>
      <c r="E13" s="13">
        <f t="shared" si="24"/>
        <v>-51000</v>
      </c>
      <c r="F13" s="13">
        <f t="shared" si="24"/>
        <v>-52020</v>
      </c>
      <c r="G13" s="13">
        <f t="shared" si="24"/>
        <v>-53060.4</v>
      </c>
      <c r="H13" s="13">
        <f t="shared" si="24"/>
        <v>-54121.608</v>
      </c>
      <c r="I13" s="1"/>
      <c r="J13" s="1" t="s">
        <v>37</v>
      </c>
      <c r="K13" s="13">
        <f t="shared" ref="K13:O13" si="25">D135</f>
        <v>-41322.314049586777</v>
      </c>
      <c r="L13" s="13">
        <f t="shared" si="25"/>
        <v>-42148.760330578516</v>
      </c>
      <c r="M13" s="13">
        <f t="shared" si="25"/>
        <v>-42991.735537190078</v>
      </c>
      <c r="N13" s="13">
        <f t="shared" si="25"/>
        <v>-43851.570247933887</v>
      </c>
      <c r="O13" s="13">
        <f t="shared" si="25"/>
        <v>-44728.601652892561</v>
      </c>
      <c r="P13" s="1"/>
      <c r="Q13" s="1" t="s">
        <v>37</v>
      </c>
      <c r="R13" s="13">
        <f t="shared" ref="R13:V13" si="26">D128+D132</f>
        <v>8677.6859504132226</v>
      </c>
      <c r="S13" s="13">
        <f t="shared" si="26"/>
        <v>8851.239669421484</v>
      </c>
      <c r="T13" s="13">
        <f t="shared" si="26"/>
        <v>9028.2644628099188</v>
      </c>
      <c r="U13" s="13">
        <f t="shared" si="26"/>
        <v>9208.8297520661145</v>
      </c>
      <c r="V13" s="13">
        <f t="shared" si="26"/>
        <v>9393.0063471074391</v>
      </c>
      <c r="W13" s="1"/>
      <c r="X13" s="1"/>
      <c r="Y13" s="1"/>
      <c r="Z13" s="1"/>
    </row>
    <row r="14" spans="1:26" x14ac:dyDescent="0.25">
      <c r="A14" s="1"/>
      <c r="B14" s="1"/>
      <c r="C14" s="1" t="s">
        <v>38</v>
      </c>
      <c r="D14" s="13">
        <f t="shared" ref="D14:H14" si="27">D139</f>
        <v>-60500</v>
      </c>
      <c r="E14" s="13">
        <f t="shared" si="27"/>
        <v>-44431.199999999997</v>
      </c>
      <c r="F14" s="13">
        <f t="shared" si="27"/>
        <v>-45319.824000000001</v>
      </c>
      <c r="G14" s="13">
        <f t="shared" si="27"/>
        <v>-46226.220480000004</v>
      </c>
      <c r="H14" s="13">
        <f t="shared" si="27"/>
        <v>-47150.744889600006</v>
      </c>
      <c r="I14" s="1"/>
      <c r="J14" s="1" t="s">
        <v>38</v>
      </c>
      <c r="K14" s="13">
        <f t="shared" ref="K14:O14" si="28">D140</f>
        <v>-50000</v>
      </c>
      <c r="L14" s="13">
        <f t="shared" si="28"/>
        <v>-36720</v>
      </c>
      <c r="M14" s="13">
        <f t="shared" si="28"/>
        <v>-37454.400000000001</v>
      </c>
      <c r="N14" s="13">
        <f t="shared" si="28"/>
        <v>-38203.488000000005</v>
      </c>
      <c r="O14" s="13">
        <f t="shared" si="28"/>
        <v>-38967.557760000003</v>
      </c>
      <c r="P14" s="1"/>
      <c r="Q14" s="1" t="s">
        <v>38</v>
      </c>
      <c r="R14" s="13">
        <f t="shared" ref="R14:V14" si="29">D141</f>
        <v>10500</v>
      </c>
      <c r="S14" s="13">
        <f t="shared" si="29"/>
        <v>7711.2</v>
      </c>
      <c r="T14" s="13">
        <f t="shared" si="29"/>
        <v>7865.424</v>
      </c>
      <c r="U14" s="13">
        <f t="shared" si="29"/>
        <v>8022.7324800000006</v>
      </c>
      <c r="V14" s="13">
        <f t="shared" si="29"/>
        <v>8183.1871296000008</v>
      </c>
      <c r="W14" s="1"/>
      <c r="X14" s="1"/>
      <c r="Y14" s="1"/>
      <c r="Z14" s="1"/>
    </row>
    <row r="15" spans="1:26" x14ac:dyDescent="0.25">
      <c r="A15" s="1"/>
      <c r="B15" s="1"/>
      <c r="C15" s="1" t="s">
        <v>39</v>
      </c>
      <c r="D15" s="13">
        <f t="shared" ref="D15:H15" si="30">D145</f>
        <v>0</v>
      </c>
      <c r="E15" s="13">
        <f t="shared" si="30"/>
        <v>0</v>
      </c>
      <c r="F15" s="13">
        <f t="shared" si="30"/>
        <v>0</v>
      </c>
      <c r="G15" s="13">
        <f t="shared" si="30"/>
        <v>0</v>
      </c>
      <c r="H15" s="13">
        <f t="shared" si="30"/>
        <v>0</v>
      </c>
      <c r="I15" s="1"/>
      <c r="J15" s="1" t="s">
        <v>39</v>
      </c>
      <c r="K15" s="22">
        <f t="shared" ref="K15:O15" si="31">D146</f>
        <v>0</v>
      </c>
      <c r="L15" s="22">
        <f t="shared" si="31"/>
        <v>0</v>
      </c>
      <c r="M15" s="22">
        <f t="shared" si="31"/>
        <v>0</v>
      </c>
      <c r="N15" s="22">
        <f t="shared" si="31"/>
        <v>0</v>
      </c>
      <c r="O15" s="22">
        <f t="shared" si="31"/>
        <v>0</v>
      </c>
      <c r="P15" s="1"/>
      <c r="Q15" s="1" t="s">
        <v>39</v>
      </c>
      <c r="R15" s="22">
        <f t="shared" ref="R15:V15" si="32">D147</f>
        <v>0</v>
      </c>
      <c r="S15" s="22">
        <f t="shared" si="32"/>
        <v>0</v>
      </c>
      <c r="T15" s="22">
        <f t="shared" si="32"/>
        <v>0</v>
      </c>
      <c r="U15" s="22">
        <f t="shared" si="32"/>
        <v>0</v>
      </c>
      <c r="V15" s="22">
        <f t="shared" si="32"/>
        <v>0</v>
      </c>
      <c r="W15" s="1"/>
      <c r="X15" s="1"/>
      <c r="Y15" s="1"/>
      <c r="Z15" s="1"/>
    </row>
    <row r="16" spans="1:26" x14ac:dyDescent="0.25">
      <c r="A16" s="1"/>
      <c r="B16" s="1"/>
      <c r="C16" s="1" t="s">
        <v>40</v>
      </c>
      <c r="D16" s="13">
        <f t="shared" ref="D16:H16" si="33">D142</f>
        <v>0</v>
      </c>
      <c r="E16" s="13">
        <f t="shared" si="33"/>
        <v>0</v>
      </c>
      <c r="F16" s="13">
        <f t="shared" si="33"/>
        <v>0</v>
      </c>
      <c r="G16" s="13">
        <f t="shared" si="33"/>
        <v>0</v>
      </c>
      <c r="H16" s="13">
        <f t="shared" si="33"/>
        <v>0</v>
      </c>
      <c r="I16" s="1"/>
      <c r="J16" s="1" t="s">
        <v>40</v>
      </c>
      <c r="K16" s="22">
        <f t="shared" ref="K16:O16" si="34">D143</f>
        <v>0</v>
      </c>
      <c r="L16" s="22">
        <f t="shared" si="34"/>
        <v>0</v>
      </c>
      <c r="M16" s="22">
        <f t="shared" si="34"/>
        <v>0</v>
      </c>
      <c r="N16" s="22">
        <f t="shared" si="34"/>
        <v>0</v>
      </c>
      <c r="O16" s="22">
        <f t="shared" si="34"/>
        <v>0</v>
      </c>
      <c r="P16" s="1"/>
      <c r="Q16" s="1" t="s">
        <v>40</v>
      </c>
      <c r="R16" s="22">
        <f t="shared" ref="R16:V16" si="35">D144</f>
        <v>0</v>
      </c>
      <c r="S16" s="22">
        <f t="shared" si="35"/>
        <v>0</v>
      </c>
      <c r="T16" s="22">
        <f t="shared" si="35"/>
        <v>0</v>
      </c>
      <c r="U16" s="22">
        <f t="shared" si="35"/>
        <v>0</v>
      </c>
      <c r="V16" s="22">
        <f t="shared" si="35"/>
        <v>0</v>
      </c>
      <c r="W16" s="1"/>
      <c r="X16" s="1"/>
      <c r="Y16" s="1"/>
      <c r="Z16" s="1"/>
    </row>
    <row r="17" spans="1:26" x14ac:dyDescent="0.25">
      <c r="A17" s="1"/>
      <c r="B17" s="1"/>
      <c r="C17" s="1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1" t="s">
        <v>41</v>
      </c>
      <c r="D18" s="23">
        <f t="shared" ref="D18:H18" si="36">SUM(D5:D16)</f>
        <v>-70650.395039161318</v>
      </c>
      <c r="E18" s="23">
        <f t="shared" si="36"/>
        <v>-33747.595039161315</v>
      </c>
      <c r="F18" s="23">
        <f t="shared" si="36"/>
        <v>-27558.539039161325</v>
      </c>
      <c r="G18" s="23">
        <f t="shared" si="36"/>
        <v>-17495.701919161314</v>
      </c>
      <c r="H18" s="23">
        <f t="shared" si="36"/>
        <v>-7561.6080567613244</v>
      </c>
      <c r="I18" s="1"/>
      <c r="J18" s="11" t="s">
        <v>41</v>
      </c>
      <c r="K18" s="23">
        <f t="shared" ref="K18:O18" si="37">SUM(K5:K16)</f>
        <v>-72030.610887889168</v>
      </c>
      <c r="L18" s="23">
        <f t="shared" si="37"/>
        <v>-41532.429069707316</v>
      </c>
      <c r="M18" s="23">
        <f t="shared" si="37"/>
        <v>-36417.506755657763</v>
      </c>
      <c r="N18" s="23">
        <f t="shared" si="37"/>
        <v>-28101.112441608129</v>
      </c>
      <c r="O18" s="23">
        <f t="shared" si="37"/>
        <v>-19891.117514004873</v>
      </c>
      <c r="P18" s="1"/>
      <c r="Q18" s="11" t="s">
        <v>41</v>
      </c>
      <c r="R18" s="23">
        <f t="shared" ref="R18:V18" si="38">SUM(R5:R16)</f>
        <v>-1380.2158487278466</v>
      </c>
      <c r="S18" s="23">
        <f t="shared" si="38"/>
        <v>-7784.8340305460124</v>
      </c>
      <c r="T18" s="23">
        <f t="shared" si="38"/>
        <v>-8858.9677164964196</v>
      </c>
      <c r="U18" s="23">
        <f t="shared" si="38"/>
        <v>-10605.410522446824</v>
      </c>
      <c r="V18" s="23">
        <f t="shared" si="38"/>
        <v>-12329.509457243536</v>
      </c>
      <c r="W18" s="1"/>
      <c r="X18" s="1"/>
      <c r="Y18" s="1"/>
      <c r="Z18" s="1"/>
    </row>
    <row r="19" spans="1:26" x14ac:dyDescent="0.25">
      <c r="A19" s="1"/>
      <c r="B19" s="1"/>
      <c r="C19" s="24"/>
      <c r="D19" s="25"/>
      <c r="E19" s="25"/>
      <c r="F19" s="25"/>
      <c r="G19" s="25"/>
      <c r="H19" s="25"/>
      <c r="I19" s="1"/>
      <c r="J19" s="24"/>
      <c r="K19" s="25"/>
      <c r="L19" s="25"/>
      <c r="M19" s="25"/>
      <c r="N19" s="25"/>
      <c r="O19" s="25"/>
      <c r="P19" s="1"/>
      <c r="Q19" s="24"/>
      <c r="R19" s="25"/>
      <c r="S19" s="25"/>
      <c r="T19" s="25"/>
      <c r="U19" s="25"/>
      <c r="V19" s="25"/>
      <c r="W19" s="1"/>
      <c r="X19" s="1"/>
      <c r="Y19" s="1"/>
      <c r="Z19" s="1"/>
    </row>
    <row r="20" spans="1:26" x14ac:dyDescent="0.25">
      <c r="A20" s="1"/>
      <c r="B20" s="1"/>
      <c r="C20" s="1" t="s">
        <v>42</v>
      </c>
      <c r="D20" s="13">
        <f t="shared" ref="D20:H20" si="39">D148</f>
        <v>90000</v>
      </c>
      <c r="E20" s="13">
        <f t="shared" si="39"/>
        <v>0</v>
      </c>
      <c r="F20" s="13">
        <f t="shared" si="39"/>
        <v>0</v>
      </c>
      <c r="G20" s="13">
        <f t="shared" si="39"/>
        <v>0</v>
      </c>
      <c r="H20" s="13">
        <f t="shared" si="39"/>
        <v>0</v>
      </c>
      <c r="I20" s="1"/>
      <c r="J20" s="1" t="s">
        <v>42</v>
      </c>
      <c r="K20" s="13">
        <f t="shared" ref="K20:O20" si="40">D148</f>
        <v>90000</v>
      </c>
      <c r="L20" s="13">
        <f t="shared" si="40"/>
        <v>0</v>
      </c>
      <c r="M20" s="13">
        <f t="shared" si="40"/>
        <v>0</v>
      </c>
      <c r="N20" s="13">
        <f t="shared" si="40"/>
        <v>0</v>
      </c>
      <c r="O20" s="13">
        <f t="shared" si="40"/>
        <v>0</v>
      </c>
      <c r="P20" s="1"/>
      <c r="Q20" s="1"/>
      <c r="R20" s="22"/>
      <c r="S20" s="22"/>
      <c r="T20" s="22"/>
      <c r="U20" s="22"/>
      <c r="V20" s="22"/>
      <c r="W20" s="1"/>
      <c r="X20" s="1"/>
      <c r="Y20" s="1"/>
      <c r="Z20" s="1"/>
    </row>
    <row r="21" spans="1:26" ht="15.75" customHeight="1" x14ac:dyDescent="0.25">
      <c r="A21" s="1"/>
      <c r="B21" s="1"/>
      <c r="C21" s="24"/>
      <c r="D21" s="25"/>
      <c r="E21" s="25"/>
      <c r="F21" s="25"/>
      <c r="G21" s="25"/>
      <c r="H21" s="25"/>
      <c r="I21" s="1"/>
      <c r="J21" s="24"/>
      <c r="K21" s="25"/>
      <c r="L21" s="25"/>
      <c r="M21" s="25"/>
      <c r="N21" s="25"/>
      <c r="O21" s="25"/>
      <c r="P21" s="1"/>
      <c r="Q21" s="24"/>
      <c r="R21" s="25"/>
      <c r="S21" s="25"/>
      <c r="T21" s="25"/>
      <c r="U21" s="25"/>
      <c r="V21" s="25"/>
      <c r="W21" s="1"/>
      <c r="X21" s="1"/>
      <c r="Y21" s="1"/>
      <c r="Z21" s="1"/>
    </row>
    <row r="22" spans="1:26" ht="15.75" customHeight="1" x14ac:dyDescent="0.25">
      <c r="A22" s="1"/>
      <c r="B22" s="26">
        <v>0</v>
      </c>
      <c r="C22" s="1" t="s">
        <v>43</v>
      </c>
      <c r="D22" s="13">
        <f t="shared" ref="D22:H22" si="41">K22</f>
        <v>0</v>
      </c>
      <c r="E22" s="13">
        <f t="shared" si="41"/>
        <v>0</v>
      </c>
      <c r="F22" s="13">
        <f t="shared" si="41"/>
        <v>0</v>
      </c>
      <c r="G22" s="13">
        <f t="shared" si="41"/>
        <v>0</v>
      </c>
      <c r="H22" s="13">
        <f t="shared" si="41"/>
        <v>0</v>
      </c>
      <c r="I22" s="1"/>
      <c r="J22" s="1" t="s">
        <v>43</v>
      </c>
      <c r="K22" s="13">
        <f t="shared" ref="K22:O22" si="42">-MAX(0,K18)*$B$22</f>
        <v>0</v>
      </c>
      <c r="L22" s="13">
        <f t="shared" si="42"/>
        <v>0</v>
      </c>
      <c r="M22" s="13">
        <f t="shared" si="42"/>
        <v>0</v>
      </c>
      <c r="N22" s="13">
        <f t="shared" si="42"/>
        <v>0</v>
      </c>
      <c r="O22" s="13">
        <f t="shared" si="42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7"/>
      <c r="C23" s="1"/>
      <c r="D23" s="13"/>
      <c r="E23" s="13"/>
      <c r="F23" s="13"/>
      <c r="G23" s="13"/>
      <c r="H23" s="13"/>
      <c r="I23" s="1"/>
      <c r="J23" s="1"/>
      <c r="K23" s="13"/>
      <c r="L23" s="13"/>
      <c r="M23" s="13"/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7"/>
      <c r="C24" s="11" t="s">
        <v>44</v>
      </c>
      <c r="D24" s="23">
        <f>D18+D20+D22</f>
        <v>19349.604960838682</v>
      </c>
      <c r="E24" s="23">
        <f t="shared" ref="E24:H24" si="43">E18+E22</f>
        <v>-33747.595039161315</v>
      </c>
      <c r="F24" s="23">
        <f t="shared" si="43"/>
        <v>-27558.539039161325</v>
      </c>
      <c r="G24" s="23">
        <f t="shared" si="43"/>
        <v>-17495.701919161314</v>
      </c>
      <c r="H24" s="23">
        <f t="shared" si="43"/>
        <v>-7561.6080567613244</v>
      </c>
      <c r="I24" s="1"/>
      <c r="J24" s="11" t="s">
        <v>44</v>
      </c>
      <c r="K24" s="23">
        <f t="shared" ref="K24:O24" si="44">K18+K20+K22</f>
        <v>17969.389112110832</v>
      </c>
      <c r="L24" s="23">
        <f t="shared" si="44"/>
        <v>-41532.429069707316</v>
      </c>
      <c r="M24" s="23">
        <f t="shared" si="44"/>
        <v>-36417.506755657763</v>
      </c>
      <c r="N24" s="23">
        <f t="shared" si="44"/>
        <v>-28101.112441608129</v>
      </c>
      <c r="O24" s="23">
        <f t="shared" si="44"/>
        <v>-19891.117514004873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3"/>
      <c r="E25" s="13"/>
      <c r="F25" s="13"/>
      <c r="G25" s="13"/>
      <c r="H25" s="13"/>
      <c r="I25" s="1"/>
      <c r="J25" s="1"/>
      <c r="K25" s="2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8" t="s">
        <v>45</v>
      </c>
      <c r="D26" s="29"/>
      <c r="E26" s="29"/>
      <c r="F26" s="29"/>
      <c r="G26" s="29"/>
      <c r="H26" s="29"/>
      <c r="I26" s="1"/>
      <c r="J26" s="28" t="s">
        <v>45</v>
      </c>
      <c r="K26" s="29"/>
      <c r="L26" s="29"/>
      <c r="M26" s="29"/>
      <c r="N26" s="29"/>
      <c r="O26" s="2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3"/>
      <c r="E27" s="13"/>
      <c r="F27" s="13"/>
      <c r="G27" s="13"/>
      <c r="H27" s="13"/>
      <c r="I27" s="1"/>
      <c r="J27" s="1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 t="s">
        <v>46</v>
      </c>
      <c r="B28" s="6"/>
      <c r="C28" s="6"/>
      <c r="D28" s="30"/>
      <c r="E28" s="30"/>
      <c r="F28" s="30"/>
      <c r="G28" s="30"/>
      <c r="H28" s="30"/>
      <c r="I28" s="6"/>
      <c r="J28" s="6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1"/>
      <c r="B29" s="1"/>
      <c r="C29" s="1" t="s">
        <v>47</v>
      </c>
      <c r="D29" s="13">
        <f t="shared" ref="D29:H29" si="45">D53+D65+D69+D70+D116+D134+D139</f>
        <v>10250</v>
      </c>
      <c r="E29" s="13">
        <f t="shared" si="45"/>
        <v>4468.8000000000029</v>
      </c>
      <c r="F29" s="13">
        <f t="shared" si="45"/>
        <v>8448.1759999999995</v>
      </c>
      <c r="G29" s="13">
        <f t="shared" si="45"/>
        <v>12377.13951999999</v>
      </c>
      <c r="H29" s="13">
        <f t="shared" si="45"/>
        <v>16254.682310399992</v>
      </c>
      <c r="I29" s="1"/>
      <c r="J29" s="1" t="s">
        <v>47</v>
      </c>
      <c r="K29" s="13">
        <f t="shared" ref="K29:O29" si="46">(D53+D65+D69+D70)/(1+$B$74)+D117+D135+D140</f>
        <v>8471.0743801652934</v>
      </c>
      <c r="L29" s="13">
        <f t="shared" si="46"/>
        <v>3693.2231404958584</v>
      </c>
      <c r="M29" s="13">
        <f t="shared" si="46"/>
        <v>6981.9636363636455</v>
      </c>
      <c r="N29" s="13">
        <f t="shared" si="46"/>
        <v>10229.040925619833</v>
      </c>
      <c r="O29" s="13">
        <f t="shared" si="46"/>
        <v>13433.621744132237</v>
      </c>
      <c r="P29" s="13"/>
      <c r="Q29" s="1" t="s">
        <v>47</v>
      </c>
      <c r="R29" s="13">
        <f>-((D53+D65+D69+D70)/(1+$B$74))*$B$74+D118+D128+D132+D141</f>
        <v>-1778.9256198347139</v>
      </c>
      <c r="S29" s="13">
        <f t="shared" ref="S29:V29" si="47">-((E53+E65+E69+E70)/(1+$B$74))*$B$74+E118+E128+E132+E141</f>
        <v>-775.57685950413816</v>
      </c>
      <c r="T29" s="13">
        <f t="shared" si="47"/>
        <v>-1466.212363636364</v>
      </c>
      <c r="U29" s="13">
        <f t="shared" si="47"/>
        <v>-2148.0985943801661</v>
      </c>
      <c r="V29" s="13">
        <f t="shared" si="47"/>
        <v>-2821.0605662677681</v>
      </c>
      <c r="W29" s="1"/>
      <c r="X29" s="1"/>
      <c r="Y29" s="1"/>
      <c r="Z29" s="1"/>
    </row>
    <row r="30" spans="1:26" ht="15.75" customHeight="1" x14ac:dyDescent="0.25">
      <c r="A30" s="1"/>
      <c r="B30" s="1"/>
      <c r="C30" s="1" t="s">
        <v>48</v>
      </c>
      <c r="D30" s="13">
        <f t="shared" ref="D30:H30" si="48">D57+D75+D76</f>
        <v>-47500</v>
      </c>
      <c r="E30" s="13">
        <f t="shared" si="48"/>
        <v>3980</v>
      </c>
      <c r="F30" s="13">
        <f t="shared" si="48"/>
        <v>1919.5999999999985</v>
      </c>
      <c r="G30" s="13">
        <f t="shared" si="48"/>
        <v>-182.00800000000891</v>
      </c>
      <c r="H30" s="13">
        <f t="shared" si="48"/>
        <v>-2325.6481600000116</v>
      </c>
      <c r="I30" s="1"/>
      <c r="J30" s="1" t="s">
        <v>48</v>
      </c>
      <c r="K30" s="13">
        <f t="shared" ref="K30:O30" si="49">D57/(1+$B$74)+(D75+D76)/(1+$B$81)</f>
        <v>-39256.198347107435</v>
      </c>
      <c r="L30" s="13">
        <f t="shared" si="49"/>
        <v>3289.2561983471096</v>
      </c>
      <c r="M30" s="13">
        <f t="shared" si="49"/>
        <v>1586.4462809917313</v>
      </c>
      <c r="N30" s="13">
        <f t="shared" si="49"/>
        <v>-150.41983471074491</v>
      </c>
      <c r="O30" s="13">
        <f t="shared" si="49"/>
        <v>-1922.0232727272814</v>
      </c>
      <c r="P30" s="13"/>
      <c r="Q30" s="1" t="s">
        <v>48</v>
      </c>
      <c r="R30" s="13">
        <f>-(D57/(1+$B$74))*$B$74-((D75+D76)/(1+$B$81))*$B$81</f>
        <v>8243.8016528925618</v>
      </c>
      <c r="S30" s="13">
        <f t="shared" ref="S30:V30" si="50">-(E57/(1+$B$74))*$B$74-((E75+E76)/(1+$B$81))*$B$81</f>
        <v>-690.74380165289404</v>
      </c>
      <c r="T30" s="13">
        <f t="shared" si="50"/>
        <v>-333.15371900826358</v>
      </c>
      <c r="U30" s="13">
        <f t="shared" si="50"/>
        <v>31.588165289256722</v>
      </c>
      <c r="V30" s="13">
        <f t="shared" si="50"/>
        <v>403.62488727273012</v>
      </c>
      <c r="W30" s="1"/>
      <c r="X30" s="1"/>
      <c r="Y30" s="1"/>
      <c r="Z30" s="1"/>
    </row>
    <row r="31" spans="1:26" ht="15.75" customHeight="1" x14ac:dyDescent="0.25">
      <c r="A31" s="1"/>
      <c r="B31" s="1"/>
      <c r="C31" s="1" t="s">
        <v>49</v>
      </c>
      <c r="D31" s="13">
        <f t="shared" ref="D31:H31" si="51">D61+D77</f>
        <v>-23700</v>
      </c>
      <c r="E31" s="13">
        <f t="shared" si="51"/>
        <v>-31496</v>
      </c>
      <c r="F31" s="13">
        <f t="shared" si="51"/>
        <v>-26205.919999999998</v>
      </c>
      <c r="G31" s="13">
        <f t="shared" si="51"/>
        <v>-16930.038399999998</v>
      </c>
      <c r="H31" s="13">
        <f t="shared" si="51"/>
        <v>-7668.6391680000015</v>
      </c>
      <c r="I31" s="1"/>
      <c r="J31" s="1" t="s">
        <v>49</v>
      </c>
      <c r="K31" s="13">
        <f t="shared" ref="K31:O31" si="52">D61/(1+$B$74)+D77/(1+$B$81)</f>
        <v>-19586.776859504134</v>
      </c>
      <c r="L31" s="13">
        <f t="shared" si="52"/>
        <v>-26029.752066115703</v>
      </c>
      <c r="M31" s="13">
        <f t="shared" si="52"/>
        <v>-21657.78512396694</v>
      </c>
      <c r="N31" s="13">
        <f t="shared" si="52"/>
        <v>-13991.767272727273</v>
      </c>
      <c r="O31" s="13">
        <f t="shared" si="52"/>
        <v>-6337.7183206611589</v>
      </c>
      <c r="P31" s="13"/>
      <c r="Q31" s="1" t="s">
        <v>49</v>
      </c>
      <c r="R31" s="13">
        <f>-(D61/(1+$B$74))*$B$74-(D77/(1+$B$81))*$B$81</f>
        <v>4113.2231404958684</v>
      </c>
      <c r="S31" s="13">
        <f t="shared" ref="S31:V31" si="53">-(E61/(1+$B$74))*$B$74-(E77/(1+$B$81))*$B$81</f>
        <v>5466.2479338842986</v>
      </c>
      <c r="T31" s="13">
        <f t="shared" si="53"/>
        <v>4548.1348760330584</v>
      </c>
      <c r="U31" s="13">
        <f t="shared" si="53"/>
        <v>2938.2711272727274</v>
      </c>
      <c r="V31" s="13">
        <f t="shared" si="53"/>
        <v>1330.9208473388435</v>
      </c>
      <c r="W31" s="1"/>
      <c r="X31" s="1"/>
      <c r="Y31" s="1"/>
      <c r="Z31" s="1"/>
    </row>
    <row r="32" spans="1:26" ht="15.75" customHeight="1" x14ac:dyDescent="0.25">
      <c r="A32" s="1"/>
      <c r="B32" s="1"/>
      <c r="C32" s="1" t="s">
        <v>50</v>
      </c>
      <c r="D32" s="13">
        <f t="shared" ref="D32:H32" si="54">D91+D101+D111+D113+D136</f>
        <v>40299.604960838682</v>
      </c>
      <c r="E32" s="13">
        <f t="shared" si="54"/>
        <v>40299.604960838682</v>
      </c>
      <c r="F32" s="13">
        <f t="shared" si="54"/>
        <v>40299.604960838682</v>
      </c>
      <c r="G32" s="13">
        <f t="shared" si="54"/>
        <v>40299.604960838682</v>
      </c>
      <c r="H32" s="13">
        <f t="shared" si="54"/>
        <v>40299.604960838682</v>
      </c>
      <c r="I32" s="1"/>
      <c r="J32" s="1" t="s">
        <v>50</v>
      </c>
      <c r="K32" s="13">
        <f t="shared" ref="K32:O32" si="55">D92+D102+D112+D114+D137</f>
        <v>19663.603988143914</v>
      </c>
      <c r="L32" s="13">
        <f t="shared" si="55"/>
        <v>19663.603988143914</v>
      </c>
      <c r="M32" s="13">
        <f t="shared" si="55"/>
        <v>19663.603988143914</v>
      </c>
      <c r="N32" s="13">
        <f t="shared" si="55"/>
        <v>19663.603988143914</v>
      </c>
      <c r="O32" s="13">
        <f t="shared" si="55"/>
        <v>19663.603988143914</v>
      </c>
      <c r="P32" s="13"/>
      <c r="Q32" s="1" t="s">
        <v>50</v>
      </c>
      <c r="R32" s="13">
        <f t="shared" ref="R32:V32" si="56">D89+D85+D95+D99+D105+D109+D115+D138</f>
        <v>-20636.000972694772</v>
      </c>
      <c r="S32" s="13">
        <f t="shared" si="56"/>
        <v>-20636.000972694772</v>
      </c>
      <c r="T32" s="13">
        <f t="shared" si="56"/>
        <v>-20636.000972694772</v>
      </c>
      <c r="U32" s="13">
        <f t="shared" si="56"/>
        <v>-20636.000972694772</v>
      </c>
      <c r="V32" s="13">
        <f t="shared" si="56"/>
        <v>-20636.000972694772</v>
      </c>
      <c r="W32" s="1"/>
      <c r="X32" s="1"/>
      <c r="Y32" s="1"/>
      <c r="Z32" s="1"/>
    </row>
    <row r="33" spans="1:26" ht="15.75" customHeight="1" x14ac:dyDescent="0.25">
      <c r="A33" s="1"/>
      <c r="B33" s="1"/>
      <c r="C33" s="1" t="s">
        <v>51</v>
      </c>
      <c r="D33" s="13">
        <f t="shared" ref="D33:H33" si="57">D120</f>
        <v>-50000</v>
      </c>
      <c r="E33" s="13">
        <f t="shared" si="57"/>
        <v>-51000</v>
      </c>
      <c r="F33" s="13">
        <f t="shared" si="57"/>
        <v>-52020</v>
      </c>
      <c r="G33" s="13">
        <f t="shared" si="57"/>
        <v>-53060.4</v>
      </c>
      <c r="H33" s="13">
        <f t="shared" si="57"/>
        <v>-54121.608</v>
      </c>
      <c r="I33" s="1"/>
      <c r="J33" s="1" t="s">
        <v>51</v>
      </c>
      <c r="K33" s="13">
        <f t="shared" ref="K33:O33" si="58">D121</f>
        <v>-41322.314049586777</v>
      </c>
      <c r="L33" s="13">
        <f t="shared" si="58"/>
        <v>-42148.760330578516</v>
      </c>
      <c r="M33" s="13">
        <f t="shared" si="58"/>
        <v>-42991.735537190085</v>
      </c>
      <c r="N33" s="13">
        <f t="shared" si="58"/>
        <v>-43851.570247933887</v>
      </c>
      <c r="O33" s="13">
        <f t="shared" si="58"/>
        <v>-44728.601652892561</v>
      </c>
      <c r="P33" s="13"/>
      <c r="Q33" s="1" t="s">
        <v>51</v>
      </c>
      <c r="R33" s="13">
        <f t="shared" ref="R33:V33" si="59">D122</f>
        <v>8677.6859504132226</v>
      </c>
      <c r="S33" s="13">
        <f t="shared" si="59"/>
        <v>8851.239669421484</v>
      </c>
      <c r="T33" s="13">
        <f t="shared" si="59"/>
        <v>9028.2644628099151</v>
      </c>
      <c r="U33" s="13">
        <f t="shared" si="59"/>
        <v>9208.8297520661145</v>
      </c>
      <c r="V33" s="13">
        <f t="shared" si="59"/>
        <v>9393.0063471074391</v>
      </c>
      <c r="W33" s="1"/>
      <c r="X33" s="1"/>
      <c r="Y33" s="1"/>
      <c r="Z33" s="1"/>
    </row>
    <row r="34" spans="1:26" ht="15.75" customHeight="1" x14ac:dyDescent="0.25">
      <c r="A34" s="1"/>
      <c r="B34" s="1"/>
      <c r="C34" s="1" t="s">
        <v>52</v>
      </c>
      <c r="D34" s="13">
        <f t="shared" ref="D34:H34" si="60">D22</f>
        <v>0</v>
      </c>
      <c r="E34" s="13">
        <f t="shared" si="60"/>
        <v>0</v>
      </c>
      <c r="F34" s="13">
        <f t="shared" si="60"/>
        <v>0</v>
      </c>
      <c r="G34" s="13">
        <f t="shared" si="60"/>
        <v>0</v>
      </c>
      <c r="H34" s="13">
        <f t="shared" si="60"/>
        <v>0</v>
      </c>
      <c r="I34" s="1"/>
      <c r="J34" s="1" t="s">
        <v>52</v>
      </c>
      <c r="K34" s="13">
        <f t="shared" ref="K34:O34" si="61">K22</f>
        <v>0</v>
      </c>
      <c r="L34" s="13">
        <f t="shared" si="61"/>
        <v>0</v>
      </c>
      <c r="M34" s="13">
        <f t="shared" si="61"/>
        <v>0</v>
      </c>
      <c r="N34" s="13">
        <f t="shared" si="61"/>
        <v>0</v>
      </c>
      <c r="O34" s="13">
        <f t="shared" si="61"/>
        <v>0</v>
      </c>
      <c r="P34" s="13"/>
      <c r="Q34" s="1"/>
      <c r="R34" s="13"/>
      <c r="S34" s="13"/>
      <c r="T34" s="13"/>
      <c r="U34" s="13"/>
      <c r="V34" s="13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1" t="s">
        <v>53</v>
      </c>
      <c r="D36" s="23">
        <f t="shared" ref="D36:H36" si="62">SUM(D29:D34)</f>
        <v>-70650.395039161318</v>
      </c>
      <c r="E36" s="23">
        <f t="shared" si="62"/>
        <v>-33747.595039161315</v>
      </c>
      <c r="F36" s="23">
        <f t="shared" si="62"/>
        <v>-27558.539039161318</v>
      </c>
      <c r="G36" s="23">
        <f t="shared" si="62"/>
        <v>-17495.701919161336</v>
      </c>
      <c r="H36" s="23">
        <f t="shared" si="62"/>
        <v>-7561.608056761339</v>
      </c>
      <c r="I36" s="1"/>
      <c r="J36" s="11" t="s">
        <v>53</v>
      </c>
      <c r="K36" s="23">
        <f t="shared" ref="K36:O36" si="63">SUM(K29:K34)</f>
        <v>-72030.610887889139</v>
      </c>
      <c r="L36" s="23">
        <f t="shared" si="63"/>
        <v>-41532.429069707337</v>
      </c>
      <c r="M36" s="23">
        <f t="shared" si="63"/>
        <v>-36417.506755657734</v>
      </c>
      <c r="N36" s="23">
        <f t="shared" si="63"/>
        <v>-28101.112441608158</v>
      </c>
      <c r="O36" s="23">
        <f t="shared" si="63"/>
        <v>-19891.117514004851</v>
      </c>
      <c r="P36" s="1"/>
      <c r="Q36" s="11" t="s">
        <v>53</v>
      </c>
      <c r="R36" s="23">
        <f t="shared" ref="R36:V36" si="64">SUM(R29:R33)</f>
        <v>-1380.2158487278321</v>
      </c>
      <c r="S36" s="23">
        <f t="shared" si="64"/>
        <v>-7784.8340305460224</v>
      </c>
      <c r="T36" s="23">
        <f t="shared" si="64"/>
        <v>-8858.9677164964269</v>
      </c>
      <c r="U36" s="23">
        <f t="shared" si="64"/>
        <v>-10605.41052244684</v>
      </c>
      <c r="V36" s="23">
        <f t="shared" si="64"/>
        <v>-12329.509457243526</v>
      </c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3"/>
      <c r="E37" s="13"/>
      <c r="F37" s="13"/>
      <c r="G37" s="13"/>
      <c r="H37" s="13"/>
      <c r="I37" s="1"/>
      <c r="J37" s="183" t="s">
        <v>241</v>
      </c>
      <c r="K37" s="184">
        <f>K36-R36-D36</f>
        <v>0</v>
      </c>
      <c r="L37" s="184">
        <f t="shared" ref="L37:O37" si="65">L36-S36-E36</f>
        <v>0</v>
      </c>
      <c r="M37" s="184">
        <f t="shared" si="65"/>
        <v>0</v>
      </c>
      <c r="N37" s="184">
        <f t="shared" si="65"/>
        <v>0</v>
      </c>
      <c r="O37" s="184">
        <f t="shared" si="65"/>
        <v>1.4551915228366852E-11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4"/>
      <c r="D38" s="32"/>
      <c r="E38" s="32"/>
      <c r="F38" s="32"/>
      <c r="G38" s="32"/>
      <c r="H38" s="32"/>
      <c r="I38" s="1"/>
      <c r="J38" s="1"/>
      <c r="K38" s="13"/>
      <c r="L38" s="13"/>
      <c r="M38" s="13"/>
      <c r="N38" s="13"/>
      <c r="O38" s="1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 t="s">
        <v>54</v>
      </c>
      <c r="B39" s="4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3"/>
      <c r="B40" s="34"/>
      <c r="C40" s="14"/>
      <c r="D40" s="35">
        <v>2020</v>
      </c>
      <c r="E40" s="35">
        <v>2021</v>
      </c>
      <c r="F40" s="35">
        <v>2022</v>
      </c>
      <c r="G40" s="35">
        <v>2023</v>
      </c>
      <c r="H40" s="35">
        <v>2024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3"/>
      <c r="B41" s="36" t="s">
        <v>55</v>
      </c>
      <c r="C41" s="37"/>
      <c r="D41" s="38">
        <v>0.02</v>
      </c>
      <c r="E41" s="38">
        <v>0.02</v>
      </c>
      <c r="F41" s="38">
        <v>0.02</v>
      </c>
      <c r="G41" s="38">
        <v>0.02</v>
      </c>
      <c r="H41" s="38">
        <v>0.02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24" t="s">
        <v>56</v>
      </c>
      <c r="C42" s="1" t="s">
        <v>57</v>
      </c>
      <c r="D42" s="39">
        <v>316</v>
      </c>
      <c r="E42" s="39">
        <f t="shared" ref="E42:H42" si="66">D45</f>
        <v>319</v>
      </c>
      <c r="F42" s="39">
        <f t="shared" si="66"/>
        <v>332</v>
      </c>
      <c r="G42" s="39">
        <f t="shared" si="66"/>
        <v>345</v>
      </c>
      <c r="H42" s="39">
        <f t="shared" si="66"/>
        <v>358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4"/>
      <c r="C43" s="1" t="s">
        <v>58</v>
      </c>
      <c r="D43" s="22">
        <v>5</v>
      </c>
      <c r="E43" s="22">
        <v>18</v>
      </c>
      <c r="F43" s="22">
        <f t="shared" ref="F43:H44" si="67">E43</f>
        <v>18</v>
      </c>
      <c r="G43" s="22">
        <f t="shared" si="67"/>
        <v>18</v>
      </c>
      <c r="H43" s="22">
        <f t="shared" si="67"/>
        <v>18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24"/>
      <c r="C44" s="1" t="s">
        <v>59</v>
      </c>
      <c r="D44" s="22">
        <v>-2</v>
      </c>
      <c r="E44" s="22">
        <v>-5</v>
      </c>
      <c r="F44" s="22">
        <f t="shared" si="67"/>
        <v>-5</v>
      </c>
      <c r="G44" s="22">
        <f t="shared" si="67"/>
        <v>-5</v>
      </c>
      <c r="H44" s="22">
        <f t="shared" si="67"/>
        <v>-5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 t="s">
        <v>60</v>
      </c>
      <c r="D45" s="39">
        <f t="shared" ref="D45:H45" si="68">D42+D43+D44</f>
        <v>319</v>
      </c>
      <c r="E45" s="39">
        <f t="shared" si="68"/>
        <v>332</v>
      </c>
      <c r="F45" s="39">
        <f t="shared" si="68"/>
        <v>345</v>
      </c>
      <c r="G45" s="39">
        <f t="shared" si="68"/>
        <v>358</v>
      </c>
      <c r="H45" s="39">
        <f t="shared" si="68"/>
        <v>371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40" t="s">
        <v>61</v>
      </c>
      <c r="D46" s="1">
        <v>107</v>
      </c>
      <c r="E46" s="1">
        <f t="shared" ref="E46:H46" si="69">D46+D47</f>
        <v>107</v>
      </c>
      <c r="F46" s="1">
        <f t="shared" si="69"/>
        <v>107</v>
      </c>
      <c r="G46" s="1">
        <f t="shared" si="69"/>
        <v>107</v>
      </c>
      <c r="H46" s="1">
        <f t="shared" si="69"/>
        <v>107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40" t="s">
        <v>62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/>
      <c r="J47" s="41"/>
      <c r="K47" s="41"/>
      <c r="L47" s="41"/>
      <c r="M47" s="41"/>
      <c r="N47" s="4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40" t="s">
        <v>63</v>
      </c>
      <c r="D48" s="22">
        <v>0</v>
      </c>
      <c r="E48" s="22">
        <v>2</v>
      </c>
      <c r="F48" s="22">
        <v>5</v>
      </c>
      <c r="G48" s="22">
        <v>10</v>
      </c>
      <c r="H48" s="22">
        <v>15</v>
      </c>
      <c r="I48" s="1"/>
      <c r="J48" s="42" t="s">
        <v>64</v>
      </c>
      <c r="K48" s="41"/>
      <c r="L48" s="41"/>
      <c r="M48" s="41"/>
      <c r="N48" s="4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40" t="s">
        <v>65</v>
      </c>
      <c r="D49" s="1">
        <v>0</v>
      </c>
      <c r="E49" s="1">
        <v>2</v>
      </c>
      <c r="F49" s="22">
        <f t="shared" ref="F49:H49" si="70">F48-E48</f>
        <v>3</v>
      </c>
      <c r="G49" s="22">
        <f t="shared" si="70"/>
        <v>5</v>
      </c>
      <c r="H49" s="22">
        <f t="shared" si="70"/>
        <v>5</v>
      </c>
      <c r="I49" s="1"/>
      <c r="J49" s="43"/>
      <c r="K49" s="44" t="s">
        <v>66</v>
      </c>
      <c r="L49" s="44" t="s">
        <v>67</v>
      </c>
      <c r="M49" s="45" t="s">
        <v>68</v>
      </c>
      <c r="N49" s="4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4"/>
      <c r="C50" s="14" t="s">
        <v>69</v>
      </c>
      <c r="D50" s="14">
        <v>80</v>
      </c>
      <c r="E50" s="14">
        <f t="shared" ref="E50:H50" si="71">D50</f>
        <v>80</v>
      </c>
      <c r="F50" s="14">
        <f t="shared" si="71"/>
        <v>80</v>
      </c>
      <c r="G50" s="14">
        <f t="shared" si="71"/>
        <v>80</v>
      </c>
      <c r="H50" s="14">
        <f t="shared" si="71"/>
        <v>80</v>
      </c>
      <c r="I50" s="1"/>
      <c r="J50" s="46" t="s">
        <v>47</v>
      </c>
      <c r="K50" s="47">
        <f>E53+E65+E69</f>
        <v>130500</v>
      </c>
      <c r="L50" s="47">
        <f>-E116-E126-E130-E139</f>
        <v>126031.2</v>
      </c>
      <c r="M50" s="48">
        <f t="shared" ref="M50:M55" si="72">K50-L50</f>
        <v>4468.8000000000029</v>
      </c>
      <c r="N50" s="4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24" t="s">
        <v>29</v>
      </c>
      <c r="C51" s="1" t="s">
        <v>70</v>
      </c>
      <c r="D51" s="22">
        <f t="shared" ref="D51:H51" si="73">D45</f>
        <v>319</v>
      </c>
      <c r="E51" s="22">
        <f t="shared" si="73"/>
        <v>332</v>
      </c>
      <c r="F51" s="22">
        <f t="shared" si="73"/>
        <v>345</v>
      </c>
      <c r="G51" s="22">
        <f t="shared" si="73"/>
        <v>358</v>
      </c>
      <c r="H51" s="22">
        <f t="shared" si="73"/>
        <v>371</v>
      </c>
      <c r="I51" s="1"/>
      <c r="J51" s="49" t="s">
        <v>48</v>
      </c>
      <c r="K51" s="50">
        <f>E57</f>
        <v>107000</v>
      </c>
      <c r="L51" s="50">
        <f>-E75-E76</f>
        <v>103020</v>
      </c>
      <c r="M51" s="51">
        <f t="shared" si="72"/>
        <v>3980</v>
      </c>
      <c r="N51" s="4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 t="s">
        <v>71</v>
      </c>
      <c r="D52" s="52">
        <v>500</v>
      </c>
      <c r="E52" s="52">
        <f t="shared" ref="E52:H52" si="74">D52</f>
        <v>500</v>
      </c>
      <c r="F52" s="52">
        <f t="shared" si="74"/>
        <v>500</v>
      </c>
      <c r="G52" s="52">
        <f t="shared" si="74"/>
        <v>500</v>
      </c>
      <c r="H52" s="52">
        <f t="shared" si="74"/>
        <v>500</v>
      </c>
      <c r="I52" s="1"/>
      <c r="J52" s="46" t="s">
        <v>49</v>
      </c>
      <c r="K52" s="47">
        <f>E61</f>
        <v>4000</v>
      </c>
      <c r="L52" s="47">
        <f>-E77</f>
        <v>35496</v>
      </c>
      <c r="M52" s="48">
        <f t="shared" si="72"/>
        <v>-31496</v>
      </c>
      <c r="N52" s="4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53" t="s">
        <v>72</v>
      </c>
      <c r="C53" s="1" t="s">
        <v>73</v>
      </c>
      <c r="D53" s="22">
        <f t="shared" ref="D53:H53" si="75">D51*D52</f>
        <v>159500</v>
      </c>
      <c r="E53" s="22">
        <f t="shared" si="75"/>
        <v>166000</v>
      </c>
      <c r="F53" s="22">
        <f t="shared" si="75"/>
        <v>172500</v>
      </c>
      <c r="G53" s="22">
        <f t="shared" si="75"/>
        <v>179000</v>
      </c>
      <c r="H53" s="22">
        <f t="shared" si="75"/>
        <v>185500</v>
      </c>
      <c r="I53" s="1"/>
      <c r="J53" s="49" t="s">
        <v>50</v>
      </c>
      <c r="K53" s="50">
        <f>E83+E93</f>
        <v>582045.00970873784</v>
      </c>
      <c r="L53" s="50">
        <f>-E87-E97-E107-E113-E136</f>
        <v>541745.40474789916</v>
      </c>
      <c r="M53" s="51">
        <f t="shared" si="72"/>
        <v>40299.604960838682</v>
      </c>
      <c r="N53" s="4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2"/>
      <c r="E54" s="22"/>
      <c r="F54" s="22"/>
      <c r="G54" s="22"/>
      <c r="H54" s="22"/>
      <c r="I54" s="1"/>
      <c r="J54" s="46" t="s">
        <v>51</v>
      </c>
      <c r="K54" s="47"/>
      <c r="L54" s="47">
        <f>-E120</f>
        <v>51000</v>
      </c>
      <c r="M54" s="48">
        <f t="shared" si="72"/>
        <v>-51000</v>
      </c>
      <c r="N54" s="4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 t="s">
        <v>74</v>
      </c>
      <c r="D55" s="22">
        <f t="shared" ref="D55:H55" si="76">D46</f>
        <v>107</v>
      </c>
      <c r="E55" s="22">
        <f t="shared" si="76"/>
        <v>107</v>
      </c>
      <c r="F55" s="22">
        <f t="shared" si="76"/>
        <v>107</v>
      </c>
      <c r="G55" s="22">
        <f t="shared" si="76"/>
        <v>107</v>
      </c>
      <c r="H55" s="22">
        <f t="shared" si="76"/>
        <v>107</v>
      </c>
      <c r="I55" s="1"/>
      <c r="J55" s="49" t="s">
        <v>43</v>
      </c>
      <c r="K55" s="50"/>
      <c r="L55" s="50">
        <f>-E22</f>
        <v>0</v>
      </c>
      <c r="M55" s="51">
        <f t="shared" si="72"/>
        <v>0</v>
      </c>
      <c r="N55" s="4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 t="s">
        <v>75</v>
      </c>
      <c r="D56" s="52">
        <v>500</v>
      </c>
      <c r="E56" s="54">
        <v>1000</v>
      </c>
      <c r="F56" s="52">
        <f t="shared" ref="F56:H56" si="77">E56</f>
        <v>1000</v>
      </c>
      <c r="G56" s="52">
        <f t="shared" si="77"/>
        <v>1000</v>
      </c>
      <c r="H56" s="52">
        <f t="shared" si="77"/>
        <v>1000</v>
      </c>
      <c r="I56" s="1"/>
      <c r="J56" s="55" t="s">
        <v>76</v>
      </c>
      <c r="K56" s="56">
        <f>MAX(K57-L57,0)</f>
        <v>0</v>
      </c>
      <c r="L56" s="56">
        <f>MAX(L57-K57,0)</f>
        <v>33747.595039161271</v>
      </c>
      <c r="M56" s="57"/>
      <c r="N56" s="4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 t="s">
        <v>77</v>
      </c>
      <c r="D57" s="22">
        <f t="shared" ref="D57:H57" si="78">D55*D56</f>
        <v>53500</v>
      </c>
      <c r="E57" s="22">
        <f t="shared" si="78"/>
        <v>107000</v>
      </c>
      <c r="F57" s="22">
        <f t="shared" si="78"/>
        <v>107000</v>
      </c>
      <c r="G57" s="22">
        <f t="shared" si="78"/>
        <v>107000</v>
      </c>
      <c r="H57" s="22">
        <f t="shared" si="78"/>
        <v>107000</v>
      </c>
      <c r="I57" s="1"/>
      <c r="J57" s="41" t="s">
        <v>68</v>
      </c>
      <c r="K57" s="58">
        <f t="shared" ref="K57:L57" si="79">SUM(K50:K55)</f>
        <v>823545.00970873784</v>
      </c>
      <c r="L57" s="58">
        <f t="shared" si="79"/>
        <v>857292.60474789911</v>
      </c>
      <c r="M57" s="58"/>
      <c r="N57" s="4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2"/>
      <c r="E58" s="22"/>
      <c r="F58" s="22"/>
      <c r="G58" s="22"/>
      <c r="H58" s="22"/>
      <c r="I58" s="1"/>
      <c r="J58" s="1"/>
      <c r="K58" s="1"/>
      <c r="L58" s="1"/>
      <c r="M58" s="1"/>
      <c r="N58" s="4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 t="s">
        <v>78</v>
      </c>
      <c r="D59" s="22">
        <f t="shared" ref="D59:E59" si="80">D48</f>
        <v>0</v>
      </c>
      <c r="E59" s="22">
        <f t="shared" si="80"/>
        <v>2</v>
      </c>
      <c r="F59" s="22">
        <v>5</v>
      </c>
      <c r="G59" s="22">
        <v>10</v>
      </c>
      <c r="H59" s="22">
        <v>15</v>
      </c>
      <c r="I59" s="1"/>
      <c r="J59" s="1"/>
      <c r="K59" s="22"/>
      <c r="L59" s="22"/>
      <c r="M59" s="2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 t="s">
        <v>79</v>
      </c>
      <c r="D60" s="52">
        <v>0</v>
      </c>
      <c r="E60" s="52">
        <v>2000</v>
      </c>
      <c r="F60" s="52">
        <f t="shared" ref="F60:H60" si="81">E60</f>
        <v>2000</v>
      </c>
      <c r="G60" s="52">
        <f t="shared" si="81"/>
        <v>2000</v>
      </c>
      <c r="H60" s="52">
        <f t="shared" si="81"/>
        <v>2000</v>
      </c>
      <c r="I60" s="1"/>
      <c r="J60" s="1"/>
      <c r="K60" s="22"/>
      <c r="L60" s="22"/>
      <c r="M60" s="2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 t="s">
        <v>77</v>
      </c>
      <c r="D61" s="22">
        <f t="shared" ref="D61:H61" si="82">D59*D60</f>
        <v>0</v>
      </c>
      <c r="E61" s="22">
        <f t="shared" si="82"/>
        <v>4000</v>
      </c>
      <c r="F61" s="22">
        <f t="shared" si="82"/>
        <v>10000</v>
      </c>
      <c r="G61" s="22">
        <f t="shared" si="82"/>
        <v>20000</v>
      </c>
      <c r="H61" s="22">
        <f t="shared" si="82"/>
        <v>30000</v>
      </c>
      <c r="I61" s="1"/>
      <c r="J61" s="24" t="s">
        <v>80</v>
      </c>
      <c r="K61" s="22"/>
      <c r="L61" s="22"/>
      <c r="M61" s="2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2"/>
      <c r="E62" s="22"/>
      <c r="F62" s="22"/>
      <c r="G62" s="22"/>
      <c r="H62" s="22"/>
      <c r="I62" s="1"/>
      <c r="J62" s="1"/>
      <c r="K62" s="32">
        <v>2021</v>
      </c>
      <c r="L62" s="32">
        <v>2022</v>
      </c>
      <c r="M62" s="32">
        <v>2023</v>
      </c>
      <c r="N62" s="24">
        <v>2024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 t="s">
        <v>58</v>
      </c>
      <c r="D63" s="22">
        <f t="shared" ref="D63:H63" si="83">D43</f>
        <v>5</v>
      </c>
      <c r="E63" s="22">
        <f t="shared" si="83"/>
        <v>18</v>
      </c>
      <c r="F63" s="22">
        <f t="shared" si="83"/>
        <v>18</v>
      </c>
      <c r="G63" s="22">
        <f t="shared" si="83"/>
        <v>18</v>
      </c>
      <c r="H63" s="22">
        <f t="shared" si="83"/>
        <v>18</v>
      </c>
      <c r="I63" s="22"/>
      <c r="J63" s="1" t="s">
        <v>81</v>
      </c>
      <c r="K63" s="22">
        <f t="shared" ref="K63:N63" si="84">E57+E61</f>
        <v>111000</v>
      </c>
      <c r="L63" s="22">
        <f t="shared" si="84"/>
        <v>117000</v>
      </c>
      <c r="M63" s="22">
        <f t="shared" si="84"/>
        <v>127000</v>
      </c>
      <c r="N63" s="22">
        <f t="shared" si="84"/>
        <v>137000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 t="s">
        <v>82</v>
      </c>
      <c r="D64" s="52">
        <v>250</v>
      </c>
      <c r="E64" s="52">
        <f t="shared" ref="E64:H64" si="85">D64</f>
        <v>250</v>
      </c>
      <c r="F64" s="52">
        <f t="shared" si="85"/>
        <v>250</v>
      </c>
      <c r="G64" s="52">
        <f t="shared" si="85"/>
        <v>250</v>
      </c>
      <c r="H64" s="52">
        <f t="shared" si="85"/>
        <v>250</v>
      </c>
      <c r="I64" s="1"/>
      <c r="J64" s="1" t="s">
        <v>83</v>
      </c>
      <c r="K64" s="22">
        <f t="shared" ref="K64:N64" si="86">-E79</f>
        <v>138516</v>
      </c>
      <c r="L64" s="22">
        <f t="shared" si="86"/>
        <v>141286.32</v>
      </c>
      <c r="M64" s="22">
        <f t="shared" si="86"/>
        <v>144112.04639999999</v>
      </c>
      <c r="N64" s="22">
        <f t="shared" si="86"/>
        <v>146994.28732800001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 t="s">
        <v>77</v>
      </c>
      <c r="D65" s="22">
        <f t="shared" ref="D65:H65" si="87">D63*D64</f>
        <v>1250</v>
      </c>
      <c r="E65" s="22">
        <f t="shared" si="87"/>
        <v>4500</v>
      </c>
      <c r="F65" s="22">
        <f t="shared" si="87"/>
        <v>4500</v>
      </c>
      <c r="G65" s="22">
        <f t="shared" si="87"/>
        <v>4500</v>
      </c>
      <c r="H65" s="22">
        <f t="shared" si="87"/>
        <v>4500</v>
      </c>
      <c r="I65" s="1"/>
      <c r="J65" s="1"/>
      <c r="K65" s="22"/>
      <c r="L65" s="22"/>
      <c r="M65" s="2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2"/>
      <c r="E66" s="22"/>
      <c r="F66" s="22"/>
      <c r="G66" s="22"/>
      <c r="H66" s="22"/>
      <c r="I66" s="1"/>
      <c r="J66" s="1"/>
      <c r="K66" s="22"/>
      <c r="L66" s="22"/>
      <c r="M66" s="2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 t="s">
        <v>69</v>
      </c>
      <c r="D67" s="22">
        <f t="shared" ref="D67:H67" si="88">D50</f>
        <v>80</v>
      </c>
      <c r="E67" s="22">
        <f t="shared" si="88"/>
        <v>80</v>
      </c>
      <c r="F67" s="22">
        <f t="shared" si="88"/>
        <v>80</v>
      </c>
      <c r="G67" s="22">
        <f t="shared" si="88"/>
        <v>80</v>
      </c>
      <c r="H67" s="22">
        <f t="shared" si="88"/>
        <v>80</v>
      </c>
      <c r="I67" s="1"/>
      <c r="J67" s="1"/>
      <c r="K67" s="22"/>
      <c r="L67" s="22"/>
      <c r="M67" s="2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 t="s">
        <v>84</v>
      </c>
      <c r="D68" s="22">
        <f t="shared" ref="D68:H68" si="89">D52</f>
        <v>500</v>
      </c>
      <c r="E68" s="22">
        <f t="shared" si="89"/>
        <v>500</v>
      </c>
      <c r="F68" s="22">
        <f t="shared" si="89"/>
        <v>500</v>
      </c>
      <c r="G68" s="22">
        <f t="shared" si="89"/>
        <v>500</v>
      </c>
      <c r="H68" s="22">
        <f t="shared" si="89"/>
        <v>500</v>
      </c>
      <c r="I68" s="1"/>
      <c r="J68" s="1"/>
      <c r="K68" s="22"/>
      <c r="L68" s="22"/>
      <c r="M68" s="2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 t="s">
        <v>85</v>
      </c>
      <c r="D69" s="22">
        <f t="shared" ref="D69:H69" si="90">-D67*D68</f>
        <v>-40000</v>
      </c>
      <c r="E69" s="22">
        <f t="shared" si="90"/>
        <v>-40000</v>
      </c>
      <c r="F69" s="22">
        <f t="shared" si="90"/>
        <v>-40000</v>
      </c>
      <c r="G69" s="22">
        <f t="shared" si="90"/>
        <v>-40000</v>
      </c>
      <c r="H69" s="22">
        <f t="shared" si="90"/>
        <v>-40000</v>
      </c>
      <c r="I69" s="1"/>
      <c r="J69" s="1"/>
      <c r="K69" s="22"/>
      <c r="L69" s="22"/>
      <c r="M69" s="2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 t="s">
        <v>86</v>
      </c>
      <c r="D70" s="22">
        <v>30000</v>
      </c>
      <c r="E70" s="22">
        <v>0</v>
      </c>
      <c r="F70" s="22">
        <f t="shared" ref="F70:H70" si="91">E70</f>
        <v>0</v>
      </c>
      <c r="G70" s="22">
        <f t="shared" si="91"/>
        <v>0</v>
      </c>
      <c r="H70" s="22">
        <f t="shared" si="91"/>
        <v>0</v>
      </c>
      <c r="I70" s="1"/>
      <c r="J70" s="1"/>
      <c r="K70" s="22"/>
      <c r="L70" s="22"/>
      <c r="M70" s="2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2"/>
      <c r="E71" s="22"/>
      <c r="F71" s="22"/>
      <c r="G71" s="22"/>
      <c r="H71" s="22"/>
      <c r="I71" s="1"/>
      <c r="J71" s="1"/>
      <c r="K71" s="22"/>
      <c r="L71" s="22"/>
      <c r="M71" s="2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4" t="s">
        <v>87</v>
      </c>
      <c r="D72" s="32">
        <f t="shared" ref="D72:H72" si="92">D53+D65+D57+D61+D69+D70</f>
        <v>204250</v>
      </c>
      <c r="E72" s="32">
        <f t="shared" si="92"/>
        <v>241500</v>
      </c>
      <c r="F72" s="32">
        <f t="shared" si="92"/>
        <v>254000</v>
      </c>
      <c r="G72" s="32">
        <f t="shared" si="92"/>
        <v>270500</v>
      </c>
      <c r="H72" s="32">
        <f t="shared" si="92"/>
        <v>287000</v>
      </c>
      <c r="I72" s="1"/>
      <c r="J72" s="1"/>
      <c r="K72" s="22"/>
      <c r="L72" s="22"/>
      <c r="M72" s="2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4" t="s">
        <v>88</v>
      </c>
      <c r="D73" s="32">
        <f t="shared" ref="D73:H73" si="93">D72/(1+$B$74)</f>
        <v>168801.65289256198</v>
      </c>
      <c r="E73" s="32">
        <f t="shared" si="93"/>
        <v>199586.77685950414</v>
      </c>
      <c r="F73" s="32">
        <f t="shared" si="93"/>
        <v>209917.35537190083</v>
      </c>
      <c r="G73" s="32">
        <f t="shared" si="93"/>
        <v>223553.71900826448</v>
      </c>
      <c r="H73" s="32">
        <f t="shared" si="93"/>
        <v>237190.0826446281</v>
      </c>
      <c r="I73" s="1"/>
      <c r="J73" s="1"/>
      <c r="K73" s="22"/>
      <c r="L73" s="22"/>
      <c r="M73" s="2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81">
        <v>0.21</v>
      </c>
      <c r="C74" s="14" t="s">
        <v>27</v>
      </c>
      <c r="D74" s="60">
        <f t="shared" ref="D74:H74" si="94">D73-D72</f>
        <v>-35448.347107438021</v>
      </c>
      <c r="E74" s="60">
        <f t="shared" si="94"/>
        <v>-41913.223140495858</v>
      </c>
      <c r="F74" s="60">
        <f t="shared" si="94"/>
        <v>-44082.644628099166</v>
      </c>
      <c r="G74" s="60">
        <f t="shared" si="94"/>
        <v>-46946.280991735519</v>
      </c>
      <c r="H74" s="60">
        <f t="shared" si="94"/>
        <v>-49809.917355371901</v>
      </c>
      <c r="I74" s="1"/>
      <c r="J74" s="1"/>
      <c r="K74" s="22"/>
      <c r="L74" s="22"/>
      <c r="M74" s="2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4" t="s">
        <v>89</v>
      </c>
      <c r="C75" s="1" t="s">
        <v>90</v>
      </c>
      <c r="D75" s="22">
        <f>-62000</f>
        <v>-62000</v>
      </c>
      <c r="E75" s="22">
        <f t="shared" ref="E75:H77" si="95">D75*(1+D$41)</f>
        <v>-63240</v>
      </c>
      <c r="F75" s="22">
        <f t="shared" si="95"/>
        <v>-64504.800000000003</v>
      </c>
      <c r="G75" s="22">
        <f t="shared" si="95"/>
        <v>-65794.896000000008</v>
      </c>
      <c r="H75" s="22">
        <f t="shared" si="95"/>
        <v>-67110.793920000011</v>
      </c>
      <c r="I75" s="1"/>
      <c r="J75" s="1"/>
      <c r="K75" s="22"/>
      <c r="L75" s="22"/>
      <c r="M75" s="2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 t="s">
        <v>91</v>
      </c>
      <c r="D76" s="22">
        <f>-39000</f>
        <v>-39000</v>
      </c>
      <c r="E76" s="22">
        <f t="shared" si="95"/>
        <v>-39780</v>
      </c>
      <c r="F76" s="22">
        <f t="shared" si="95"/>
        <v>-40575.599999999999</v>
      </c>
      <c r="G76" s="22">
        <f t="shared" si="95"/>
        <v>-41387.112000000001</v>
      </c>
      <c r="H76" s="22">
        <f t="shared" si="95"/>
        <v>-42214.854240000001</v>
      </c>
      <c r="I76" s="1"/>
      <c r="J76" s="1"/>
      <c r="K76" s="22"/>
      <c r="L76" s="22"/>
      <c r="M76" s="2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 t="s">
        <v>49</v>
      </c>
      <c r="D77" s="54">
        <f>-CERA!$B$12*CERA!$B$18*CERA!$B$9-CERA!$B$15*CERA!$B$18</f>
        <v>-23700</v>
      </c>
      <c r="E77" s="22">
        <f>-CERA!$B$12*CERA!$B$18*(1+E$41)</f>
        <v>-35496</v>
      </c>
      <c r="F77" s="22">
        <f t="shared" si="95"/>
        <v>-36205.919999999998</v>
      </c>
      <c r="G77" s="22">
        <f t="shared" si="95"/>
        <v>-36930.038399999998</v>
      </c>
      <c r="H77" s="22">
        <f t="shared" si="95"/>
        <v>-37668.639168000002</v>
      </c>
      <c r="I77" s="1"/>
      <c r="J77" s="1"/>
      <c r="K77" s="22"/>
      <c r="L77" s="22"/>
      <c r="M77" s="2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2"/>
      <c r="E78" s="22"/>
      <c r="F78" s="22"/>
      <c r="G78" s="22"/>
      <c r="H78" s="22"/>
      <c r="I78" s="1"/>
      <c r="J78" s="42" t="s">
        <v>92</v>
      </c>
      <c r="K78" s="58"/>
      <c r="L78" s="58"/>
      <c r="M78" s="58"/>
      <c r="N78" s="4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4" t="s">
        <v>87</v>
      </c>
      <c r="D79" s="32">
        <f t="shared" ref="D79:H79" si="96">SUM(D75:D77)</f>
        <v>-124700</v>
      </c>
      <c r="E79" s="32">
        <f t="shared" si="96"/>
        <v>-138516</v>
      </c>
      <c r="F79" s="32">
        <f t="shared" si="96"/>
        <v>-141286.32</v>
      </c>
      <c r="G79" s="32">
        <f t="shared" si="96"/>
        <v>-144112.04639999999</v>
      </c>
      <c r="H79" s="32">
        <f t="shared" si="96"/>
        <v>-146994.28732800001</v>
      </c>
      <c r="I79" s="1"/>
      <c r="J79" s="61"/>
      <c r="K79" s="62" t="s">
        <v>66</v>
      </c>
      <c r="L79" s="62" t="s">
        <v>67</v>
      </c>
      <c r="M79" s="63" t="s">
        <v>68</v>
      </c>
      <c r="N79" s="4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4" t="s">
        <v>88</v>
      </c>
      <c r="D80" s="32">
        <f>D79/(1+$B$81)</f>
        <v>-103057.85123966943</v>
      </c>
      <c r="E80" s="32">
        <f t="shared" ref="E80:H80" si="97">E79/(1+$B$81)</f>
        <v>-114476.03305785124</v>
      </c>
      <c r="F80" s="32">
        <f t="shared" si="97"/>
        <v>-116765.55371900827</v>
      </c>
      <c r="G80" s="32">
        <f t="shared" si="97"/>
        <v>-119100.86479338842</v>
      </c>
      <c r="H80" s="32">
        <f t="shared" si="97"/>
        <v>-121482.88208925621</v>
      </c>
      <c r="I80" s="1"/>
      <c r="J80" s="64" t="s">
        <v>47</v>
      </c>
      <c r="K80" s="65">
        <f>(E53+E65+E69)/1000</f>
        <v>130.5</v>
      </c>
      <c r="L80" s="65">
        <f>(-E116-E126-E130-E139)/1000</f>
        <v>126.0312</v>
      </c>
      <c r="M80" s="66">
        <f t="shared" ref="M80:M85" si="98">K80-L80</f>
        <v>4.4688000000000017</v>
      </c>
      <c r="N80" s="4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81">
        <v>0.21</v>
      </c>
      <c r="C81" s="14" t="s">
        <v>27</v>
      </c>
      <c r="D81" s="60">
        <f>-D79+D80</f>
        <v>21642.148760330572</v>
      </c>
      <c r="E81" s="60">
        <f t="shared" ref="E81:H81" si="99">-E79+E80</f>
        <v>24039.966942148763</v>
      </c>
      <c r="F81" s="60">
        <f t="shared" si="99"/>
        <v>24520.766280991738</v>
      </c>
      <c r="G81" s="60">
        <f t="shared" si="99"/>
        <v>25011.181606611572</v>
      </c>
      <c r="H81" s="60">
        <f t="shared" si="99"/>
        <v>25511.405238743799</v>
      </c>
      <c r="I81" s="1"/>
      <c r="J81" s="67" t="s">
        <v>48</v>
      </c>
      <c r="K81" s="68">
        <f>(E57)/1000</f>
        <v>107</v>
      </c>
      <c r="L81" s="68">
        <f>(-E75-E76)/1000</f>
        <v>103.02</v>
      </c>
      <c r="M81" s="69">
        <f t="shared" si="98"/>
        <v>3.980000000000004</v>
      </c>
      <c r="N81" s="4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4" t="s">
        <v>31</v>
      </c>
      <c r="C82" s="1" t="s">
        <v>93</v>
      </c>
      <c r="D82" s="22">
        <f>'JAS_Shrnuti 2020'!E5</f>
        <v>6717.4757281553393</v>
      </c>
      <c r="E82" s="22">
        <f t="shared" ref="E82:H82" si="100">D82*(1+E$41)</f>
        <v>6851.8252427184461</v>
      </c>
      <c r="F82" s="22">
        <f t="shared" si="100"/>
        <v>6988.8617475728151</v>
      </c>
      <c r="G82" s="22">
        <f t="shared" si="100"/>
        <v>7128.6389825242713</v>
      </c>
      <c r="H82" s="22">
        <f t="shared" si="100"/>
        <v>7271.2117621747566</v>
      </c>
      <c r="I82" s="1"/>
      <c r="J82" s="64" t="s">
        <v>49</v>
      </c>
      <c r="K82" s="65">
        <f>(E61)/1000</f>
        <v>4</v>
      </c>
      <c r="L82" s="65">
        <f>(-E77)/1000</f>
        <v>35.496000000000002</v>
      </c>
      <c r="M82" s="66">
        <f t="shared" si="98"/>
        <v>-31.496000000000002</v>
      </c>
      <c r="N82" s="4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 t="s">
        <v>94</v>
      </c>
      <c r="D83" s="22">
        <f>'JAS_Shrnuti 2020'!E8</f>
        <v>550833.00970873784</v>
      </c>
      <c r="E83" s="22">
        <f>D83*(1+E$41*0)</f>
        <v>550833.00970873784</v>
      </c>
      <c r="F83" s="22">
        <f t="shared" ref="F83:H83" si="101">E83*(1+F$41*0)</f>
        <v>550833.00970873784</v>
      </c>
      <c r="G83" s="22">
        <f t="shared" si="101"/>
        <v>550833.00970873784</v>
      </c>
      <c r="H83" s="22">
        <f t="shared" si="101"/>
        <v>550833.00970873784</v>
      </c>
      <c r="I83" s="1"/>
      <c r="J83" s="67" t="s">
        <v>50</v>
      </c>
      <c r="K83" s="68">
        <f>(E91+E101)/1000</f>
        <v>119.81960496083869</v>
      </c>
      <c r="L83" s="68">
        <f>(-E107-E113-E136)/1000</f>
        <v>79.52</v>
      </c>
      <c r="M83" s="69">
        <f t="shared" si="98"/>
        <v>40.299604960838693</v>
      </c>
      <c r="N83" s="4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 t="s">
        <v>95</v>
      </c>
      <c r="D84" s="22">
        <f t="shared" ref="D84:H84" si="102">D83/(1+$B$85)</f>
        <v>455233.89232127095</v>
      </c>
      <c r="E84" s="22">
        <f t="shared" si="102"/>
        <v>455233.89232127095</v>
      </c>
      <c r="F84" s="22">
        <f t="shared" si="102"/>
        <v>455233.89232127095</v>
      </c>
      <c r="G84" s="22">
        <f t="shared" si="102"/>
        <v>455233.89232127095</v>
      </c>
      <c r="H84" s="22">
        <f t="shared" si="102"/>
        <v>455233.89232127095</v>
      </c>
      <c r="I84" s="1"/>
      <c r="J84" s="64" t="s">
        <v>51</v>
      </c>
      <c r="K84" s="65">
        <v>0</v>
      </c>
      <c r="L84" s="65">
        <f>(-E120)/1000</f>
        <v>51</v>
      </c>
      <c r="M84" s="66">
        <f t="shared" si="98"/>
        <v>-51</v>
      </c>
      <c r="N84" s="4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6">
        <v>0.21</v>
      </c>
      <c r="C85" s="1" t="s">
        <v>27</v>
      </c>
      <c r="D85" s="22">
        <f t="shared" ref="D85:H85" si="103">-(D83-D84)</f>
        <v>-95599.117387466889</v>
      </c>
      <c r="E85" s="22">
        <f t="shared" si="103"/>
        <v>-95599.117387466889</v>
      </c>
      <c r="F85" s="22">
        <f t="shared" si="103"/>
        <v>-95599.117387466889</v>
      </c>
      <c r="G85" s="22">
        <f t="shared" si="103"/>
        <v>-95599.117387466889</v>
      </c>
      <c r="H85" s="22">
        <f t="shared" si="103"/>
        <v>-95599.117387466889</v>
      </c>
      <c r="I85" s="1"/>
      <c r="J85" s="67" t="s">
        <v>43</v>
      </c>
      <c r="K85" s="68">
        <v>0</v>
      </c>
      <c r="L85" s="68">
        <f>(-E22)/1000</f>
        <v>0</v>
      </c>
      <c r="M85" s="69">
        <f t="shared" si="98"/>
        <v>0</v>
      </c>
      <c r="N85" s="4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7"/>
      <c r="C86" s="1"/>
      <c r="D86" s="22"/>
      <c r="E86" s="22"/>
      <c r="F86" s="22"/>
      <c r="G86" s="22"/>
      <c r="H86" s="22"/>
      <c r="I86" s="1"/>
      <c r="J86" s="70" t="s">
        <v>76</v>
      </c>
      <c r="K86" s="71">
        <f>MAX(K87-L87,0)</f>
        <v>0</v>
      </c>
      <c r="L86" s="71">
        <f>MAX(L87-K87,0)</f>
        <v>33.747595039161297</v>
      </c>
      <c r="M86" s="72"/>
      <c r="N86" s="4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22" t="s">
        <v>265</v>
      </c>
      <c r="D87" s="22">
        <f>-'JAS_Shrnuti 2020'!E9</f>
        <v>-431013.40474789916</v>
      </c>
      <c r="E87" s="22">
        <f t="shared" ref="E87:H87" si="104">E88-E89</f>
        <v>-431013.40474789916</v>
      </c>
      <c r="F87" s="22">
        <f t="shared" si="104"/>
        <v>-431013.40474789916</v>
      </c>
      <c r="G87" s="22">
        <f t="shared" si="104"/>
        <v>-431013.40474789916</v>
      </c>
      <c r="H87" s="22">
        <f t="shared" si="104"/>
        <v>-431013.40474789916</v>
      </c>
      <c r="I87" s="1"/>
      <c r="J87" s="41" t="s">
        <v>68</v>
      </c>
      <c r="K87" s="58">
        <f t="shared" ref="K87:L87" si="105">SUM(K80:K85)</f>
        <v>361.31960496083866</v>
      </c>
      <c r="L87" s="58">
        <f t="shared" si="105"/>
        <v>395.06719999999996</v>
      </c>
      <c r="M87" s="58"/>
      <c r="N87" s="4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22" t="s">
        <v>266</v>
      </c>
      <c r="D88" s="22">
        <f>-'JAS_Shrnuti 2020'!E13</f>
        <v>-369851.28006866423</v>
      </c>
      <c r="E88" s="22">
        <f>D88*(1+E$41*0)</f>
        <v>-369851.28006866423</v>
      </c>
      <c r="F88" s="22">
        <f t="shared" ref="F88:H88" si="106">E88*(1+F$41*0)</f>
        <v>-369851.28006866423</v>
      </c>
      <c r="G88" s="22">
        <f t="shared" si="106"/>
        <v>-369851.28006866423</v>
      </c>
      <c r="H88" s="22">
        <f t="shared" si="106"/>
        <v>-369851.28006866423</v>
      </c>
      <c r="I88" s="1"/>
      <c r="J88" s="1"/>
      <c r="K88" s="1"/>
      <c r="L88" s="1"/>
      <c r="M88" s="1"/>
      <c r="N88" s="4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73">
        <f>($D$89/-$D$88)</f>
        <v>0.1653695092467436</v>
      </c>
      <c r="C89" s="1" t="s">
        <v>27</v>
      </c>
      <c r="D89" s="22">
        <f>-(D87-D88)</f>
        <v>61162.124679234927</v>
      </c>
      <c r="E89" s="22">
        <f t="shared" ref="E89:H89" si="107">-E88*$B$89</f>
        <v>61162.124679234927</v>
      </c>
      <c r="F89" s="22">
        <f t="shared" si="107"/>
        <v>61162.124679234927</v>
      </c>
      <c r="G89" s="22">
        <f t="shared" si="107"/>
        <v>61162.124679234927</v>
      </c>
      <c r="H89" s="22">
        <f t="shared" si="107"/>
        <v>61162.124679234927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82" t="s">
        <v>240</v>
      </c>
      <c r="C90" s="1"/>
      <c r="D90" s="22"/>
      <c r="E90" s="74"/>
      <c r="F90" s="22"/>
      <c r="G90" s="22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75"/>
      <c r="C91" s="24" t="s">
        <v>87</v>
      </c>
      <c r="D91" s="32">
        <f t="shared" ref="D91:H92" si="108">D83+D87</f>
        <v>119819.60496083868</v>
      </c>
      <c r="E91" s="32">
        <f t="shared" si="108"/>
        <v>119819.60496083868</v>
      </c>
      <c r="F91" s="32">
        <f t="shared" si="108"/>
        <v>119819.60496083868</v>
      </c>
      <c r="G91" s="32">
        <f t="shared" si="108"/>
        <v>119819.60496083868</v>
      </c>
      <c r="H91" s="32">
        <f t="shared" si="108"/>
        <v>119819.60496083868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76"/>
      <c r="C92" s="35" t="s">
        <v>88</v>
      </c>
      <c r="D92" s="77">
        <f t="shared" si="108"/>
        <v>85382.612252606719</v>
      </c>
      <c r="E92" s="77">
        <f t="shared" si="108"/>
        <v>85382.612252606719</v>
      </c>
      <c r="F92" s="77">
        <f t="shared" si="108"/>
        <v>85382.612252606719</v>
      </c>
      <c r="G92" s="77">
        <f t="shared" si="108"/>
        <v>85382.612252606719</v>
      </c>
      <c r="H92" s="77">
        <f t="shared" si="108"/>
        <v>85382.612252606719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4" t="s">
        <v>32</v>
      </c>
      <c r="C93" s="1" t="s">
        <v>94</v>
      </c>
      <c r="D93" s="22">
        <f>30000*(1+D$41)</f>
        <v>30600</v>
      </c>
      <c r="E93" s="22">
        <f t="shared" ref="E93:H93" si="109">D93*(1+E$41)</f>
        <v>31212</v>
      </c>
      <c r="F93" s="22">
        <f t="shared" si="109"/>
        <v>31836.240000000002</v>
      </c>
      <c r="G93" s="22">
        <f t="shared" si="109"/>
        <v>32472.964800000002</v>
      </c>
      <c r="H93" s="22">
        <f t="shared" si="109"/>
        <v>33122.424096000002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 t="s">
        <v>95</v>
      </c>
      <c r="D94" s="22">
        <f t="shared" ref="D94:H94" si="110">D93/(1+$B$95)</f>
        <v>25289.25619834711</v>
      </c>
      <c r="E94" s="22">
        <f t="shared" si="110"/>
        <v>25795.041322314049</v>
      </c>
      <c r="F94" s="22">
        <f t="shared" si="110"/>
        <v>26310.942148760332</v>
      </c>
      <c r="G94" s="22">
        <f t="shared" si="110"/>
        <v>26837.160991735538</v>
      </c>
      <c r="H94" s="22">
        <f t="shared" si="110"/>
        <v>27373.90421157025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6">
        <v>0.21</v>
      </c>
      <c r="C95" s="1" t="s">
        <v>27</v>
      </c>
      <c r="D95" s="22">
        <f t="shared" ref="D95:H95" si="111">-(D93-D94)</f>
        <v>-5310.7438016528904</v>
      </c>
      <c r="E95" s="22">
        <f t="shared" si="111"/>
        <v>-5416.9586776859505</v>
      </c>
      <c r="F95" s="22">
        <f t="shared" si="111"/>
        <v>-5525.2978512396694</v>
      </c>
      <c r="G95" s="22">
        <f t="shared" si="111"/>
        <v>-5635.8038082644634</v>
      </c>
      <c r="H95" s="22">
        <f t="shared" si="111"/>
        <v>-5748.519884429752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2"/>
      <c r="E96" s="22"/>
      <c r="F96" s="22"/>
      <c r="G96" s="22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 t="s">
        <v>265</v>
      </c>
      <c r="D97" s="22">
        <f t="shared" ref="D97:H97" si="112">D98-D99</f>
        <v>-30600.000000000004</v>
      </c>
      <c r="E97" s="22">
        <f t="shared" si="112"/>
        <v>-31212</v>
      </c>
      <c r="F97" s="22">
        <f t="shared" si="112"/>
        <v>-31836.240000000002</v>
      </c>
      <c r="G97" s="22">
        <f t="shared" si="112"/>
        <v>-32472.964800000002</v>
      </c>
      <c r="H97" s="22">
        <f t="shared" si="112"/>
        <v>-33122.424096000002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 t="s">
        <v>266</v>
      </c>
      <c r="D98" s="22">
        <f t="shared" ref="D98:H98" si="113">-D94</f>
        <v>-25289.25619834711</v>
      </c>
      <c r="E98" s="22">
        <f t="shared" si="113"/>
        <v>-25795.041322314049</v>
      </c>
      <c r="F98" s="22">
        <f t="shared" si="113"/>
        <v>-26310.942148760332</v>
      </c>
      <c r="G98" s="22">
        <f t="shared" si="113"/>
        <v>-26837.160991735538</v>
      </c>
      <c r="H98" s="22">
        <f t="shared" si="113"/>
        <v>-27373.90421157025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80">
        <v>0.21</v>
      </c>
      <c r="C99" s="1" t="s">
        <v>27</v>
      </c>
      <c r="D99" s="22">
        <f t="shared" ref="D99:H99" si="114">-D98*$B$99</f>
        <v>5310.7438016528931</v>
      </c>
      <c r="E99" s="22">
        <f t="shared" si="114"/>
        <v>5416.9586776859505</v>
      </c>
      <c r="F99" s="22">
        <f t="shared" si="114"/>
        <v>5525.2978512396694</v>
      </c>
      <c r="G99" s="22">
        <f t="shared" si="114"/>
        <v>5635.8038082644625</v>
      </c>
      <c r="H99" s="22">
        <f t="shared" si="114"/>
        <v>5748.519884429752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2"/>
      <c r="E100" s="22"/>
      <c r="F100" s="22"/>
      <c r="G100" s="22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4" t="s">
        <v>87</v>
      </c>
      <c r="D101" s="32">
        <f t="shared" ref="D101:H102" si="115">D93+D97</f>
        <v>0</v>
      </c>
      <c r="E101" s="32">
        <f t="shared" si="115"/>
        <v>0</v>
      </c>
      <c r="F101" s="32">
        <f t="shared" si="115"/>
        <v>0</v>
      </c>
      <c r="G101" s="32">
        <f t="shared" si="115"/>
        <v>0</v>
      </c>
      <c r="H101" s="32">
        <f t="shared" si="115"/>
        <v>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4"/>
      <c r="C102" s="35" t="s">
        <v>88</v>
      </c>
      <c r="D102" s="77">
        <f t="shared" si="115"/>
        <v>0</v>
      </c>
      <c r="E102" s="77">
        <f t="shared" si="115"/>
        <v>0</v>
      </c>
      <c r="F102" s="77">
        <f t="shared" si="115"/>
        <v>0</v>
      </c>
      <c r="G102" s="77">
        <f t="shared" si="115"/>
        <v>0</v>
      </c>
      <c r="H102" s="77">
        <f t="shared" si="115"/>
        <v>0</v>
      </c>
      <c r="I102" s="53" t="s">
        <v>96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4" t="s">
        <v>97</v>
      </c>
      <c r="C103" s="1" t="s">
        <v>94</v>
      </c>
      <c r="D103" s="22">
        <f>0*(1+D$41)</f>
        <v>0</v>
      </c>
      <c r="E103" s="22">
        <f t="shared" ref="E103:H103" si="116">D103*(1+E$41)</f>
        <v>0</v>
      </c>
      <c r="F103" s="22">
        <f t="shared" si="116"/>
        <v>0</v>
      </c>
      <c r="G103" s="22">
        <f t="shared" si="116"/>
        <v>0</v>
      </c>
      <c r="H103" s="22">
        <f t="shared" si="116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 t="s">
        <v>95</v>
      </c>
      <c r="D104" s="22">
        <f t="shared" ref="D104:H104" si="117">D103/1.21</f>
        <v>0</v>
      </c>
      <c r="E104" s="22">
        <f t="shared" si="117"/>
        <v>0</v>
      </c>
      <c r="F104" s="22">
        <f t="shared" si="117"/>
        <v>0</v>
      </c>
      <c r="G104" s="22">
        <f t="shared" si="117"/>
        <v>0</v>
      </c>
      <c r="H104" s="22">
        <f t="shared" si="117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6">
        <v>0.21</v>
      </c>
      <c r="C105" s="1" t="s">
        <v>27</v>
      </c>
      <c r="D105" s="22">
        <f t="shared" ref="D105:H105" si="118">-(D103-D104)</f>
        <v>0</v>
      </c>
      <c r="E105" s="22">
        <f t="shared" si="118"/>
        <v>0</v>
      </c>
      <c r="F105" s="22">
        <f t="shared" si="118"/>
        <v>0</v>
      </c>
      <c r="G105" s="22">
        <f t="shared" si="118"/>
        <v>0</v>
      </c>
      <c r="H105" s="22">
        <f t="shared" si="118"/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2"/>
      <c r="E106" s="22"/>
      <c r="F106" s="22"/>
      <c r="G106" s="22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24" t="s">
        <v>263</v>
      </c>
      <c r="D107" s="78">
        <v>-15000</v>
      </c>
      <c r="E107" s="78">
        <f>D107*(1+E$41*0)</f>
        <v>-15000</v>
      </c>
      <c r="F107" s="78">
        <f t="shared" ref="F107:H107" si="119">E107*(1+F$41*0)</f>
        <v>-15000</v>
      </c>
      <c r="G107" s="78">
        <f t="shared" si="119"/>
        <v>-15000</v>
      </c>
      <c r="H107" s="78">
        <f t="shared" si="119"/>
        <v>-15000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24" t="s">
        <v>264</v>
      </c>
      <c r="D108" s="78">
        <f>D107/(1+$B$109)</f>
        <v>-12396.694214876034</v>
      </c>
      <c r="E108" s="78">
        <f t="shared" ref="E108:H108" si="120">E107/(1+$B$109)</f>
        <v>-12396.694214876034</v>
      </c>
      <c r="F108" s="78">
        <f t="shared" si="120"/>
        <v>-12396.694214876034</v>
      </c>
      <c r="G108" s="78">
        <f t="shared" si="120"/>
        <v>-12396.694214876034</v>
      </c>
      <c r="H108" s="78">
        <f t="shared" si="120"/>
        <v>-12396.694214876034</v>
      </c>
      <c r="I108" s="53" t="s">
        <v>98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80">
        <v>0.21</v>
      </c>
      <c r="C109" s="1" t="s">
        <v>27</v>
      </c>
      <c r="D109" s="22">
        <f t="shared" ref="D109:H109" si="121">-D108*$B$109</f>
        <v>2603.3057851239669</v>
      </c>
      <c r="E109" s="22">
        <f t="shared" si="121"/>
        <v>2603.3057851239669</v>
      </c>
      <c r="F109" s="22">
        <f t="shared" si="121"/>
        <v>2603.3057851239669</v>
      </c>
      <c r="G109" s="22">
        <f t="shared" si="121"/>
        <v>2603.3057851239669</v>
      </c>
      <c r="H109" s="22">
        <f t="shared" si="121"/>
        <v>2603.3057851239669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2"/>
      <c r="E110" s="22"/>
      <c r="F110" s="22"/>
      <c r="G110" s="22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4" t="s">
        <v>87</v>
      </c>
      <c r="D111" s="32">
        <f>D103+D107</f>
        <v>-15000</v>
      </c>
      <c r="E111" s="32">
        <f t="shared" ref="D111:H112" si="122">E103+E107</f>
        <v>-15000</v>
      </c>
      <c r="F111" s="32">
        <f t="shared" si="122"/>
        <v>-15000</v>
      </c>
      <c r="G111" s="32">
        <f t="shared" si="122"/>
        <v>-15000</v>
      </c>
      <c r="H111" s="32">
        <f t="shared" si="122"/>
        <v>-15000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4"/>
      <c r="C112" s="35" t="s">
        <v>88</v>
      </c>
      <c r="D112" s="77">
        <f t="shared" si="122"/>
        <v>-12396.694214876034</v>
      </c>
      <c r="E112" s="77">
        <f t="shared" si="122"/>
        <v>-12396.694214876034</v>
      </c>
      <c r="F112" s="77">
        <f t="shared" si="122"/>
        <v>-12396.694214876034</v>
      </c>
      <c r="G112" s="77">
        <f t="shared" si="122"/>
        <v>-12396.694214876034</v>
      </c>
      <c r="H112" s="77">
        <f t="shared" si="122"/>
        <v>-12396.694214876034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4" t="s">
        <v>34</v>
      </c>
      <c r="C113" s="224" t="s">
        <v>263</v>
      </c>
      <c r="D113" s="78">
        <f t="shared" ref="D113:H113" si="123">D114-D115</f>
        <v>-14520</v>
      </c>
      <c r="E113" s="78">
        <f t="shared" si="123"/>
        <v>-14520</v>
      </c>
      <c r="F113" s="78">
        <f t="shared" si="123"/>
        <v>-14520</v>
      </c>
      <c r="G113" s="78">
        <f t="shared" si="123"/>
        <v>-14520</v>
      </c>
      <c r="H113" s="78">
        <f t="shared" si="123"/>
        <v>-14520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4"/>
      <c r="C114" s="224" t="s">
        <v>264</v>
      </c>
      <c r="D114" s="78">
        <f>(-500*(29+37)-3000)/3</f>
        <v>-12000</v>
      </c>
      <c r="E114" s="78">
        <f>D114*(1+E$41*0)</f>
        <v>-12000</v>
      </c>
      <c r="F114" s="78">
        <f t="shared" ref="F114:H114" si="124">E114*(1+F$41*0)</f>
        <v>-12000</v>
      </c>
      <c r="G114" s="78">
        <f t="shared" si="124"/>
        <v>-12000</v>
      </c>
      <c r="H114" s="78">
        <f t="shared" si="124"/>
        <v>-12000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59">
        <v>0.21</v>
      </c>
      <c r="C115" s="14" t="s">
        <v>27</v>
      </c>
      <c r="D115" s="60">
        <f t="shared" ref="D115:H115" si="125">-D114*$B$115</f>
        <v>2520</v>
      </c>
      <c r="E115" s="60">
        <f t="shared" si="125"/>
        <v>2520</v>
      </c>
      <c r="F115" s="60">
        <f t="shared" si="125"/>
        <v>2520</v>
      </c>
      <c r="G115" s="60">
        <f t="shared" si="125"/>
        <v>2520</v>
      </c>
      <c r="H115" s="60">
        <f t="shared" si="125"/>
        <v>2520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4" t="s">
        <v>36</v>
      </c>
      <c r="C116" s="1" t="s">
        <v>267</v>
      </c>
      <c r="D116" s="22">
        <v>-30000</v>
      </c>
      <c r="E116" s="22">
        <f t="shared" ref="E116:H116" si="126">D116*(1+E$41)</f>
        <v>-30600</v>
      </c>
      <c r="F116" s="22">
        <f t="shared" si="126"/>
        <v>-31212</v>
      </c>
      <c r="G116" s="22">
        <f t="shared" si="126"/>
        <v>-31836.240000000002</v>
      </c>
      <c r="H116" s="22">
        <f t="shared" si="126"/>
        <v>-32472.964800000002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4"/>
      <c r="C117" s="1" t="s">
        <v>268</v>
      </c>
      <c r="D117" s="22">
        <f t="shared" ref="D117:H117" si="127">D116/(1+$B$118)</f>
        <v>-24793.388429752067</v>
      </c>
      <c r="E117" s="22">
        <f t="shared" si="127"/>
        <v>-25289.25619834711</v>
      </c>
      <c r="F117" s="22">
        <f t="shared" si="127"/>
        <v>-25795.041322314049</v>
      </c>
      <c r="G117" s="22">
        <f t="shared" si="127"/>
        <v>-26310.942148760332</v>
      </c>
      <c r="H117" s="22">
        <f t="shared" si="127"/>
        <v>-26837.160991735538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6">
        <v>0.21</v>
      </c>
      <c r="C118" s="1" t="s">
        <v>27</v>
      </c>
      <c r="D118" s="22">
        <f t="shared" ref="D118:H118" si="128">D117-D116</f>
        <v>5206.6115702479328</v>
      </c>
      <c r="E118" s="22">
        <f t="shared" si="128"/>
        <v>5310.7438016528904</v>
      </c>
      <c r="F118" s="22">
        <f t="shared" si="128"/>
        <v>5416.9586776859505</v>
      </c>
      <c r="G118" s="22">
        <f t="shared" si="128"/>
        <v>5525.2978512396694</v>
      </c>
      <c r="H118" s="22">
        <f t="shared" si="128"/>
        <v>5635.8038082644634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4"/>
      <c r="C119" s="1"/>
      <c r="D119" s="22"/>
      <c r="E119" s="22"/>
      <c r="F119" s="22"/>
      <c r="G119" s="22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 t="s">
        <v>269</v>
      </c>
      <c r="D120" s="22">
        <v>-50000</v>
      </c>
      <c r="E120" s="22">
        <f t="shared" ref="E120:H120" si="129">D120*(1+E$41)</f>
        <v>-51000</v>
      </c>
      <c r="F120" s="22">
        <f t="shared" si="129"/>
        <v>-52020</v>
      </c>
      <c r="G120" s="22">
        <f t="shared" si="129"/>
        <v>-53060.4</v>
      </c>
      <c r="H120" s="22">
        <f t="shared" si="129"/>
        <v>-54121.608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 t="s">
        <v>270</v>
      </c>
      <c r="D121" s="22">
        <f t="shared" ref="D121:H121" si="130">D120/(1+$B$122)</f>
        <v>-41322.314049586777</v>
      </c>
      <c r="E121" s="22">
        <f t="shared" si="130"/>
        <v>-42148.760330578516</v>
      </c>
      <c r="F121" s="22">
        <f t="shared" si="130"/>
        <v>-42991.735537190085</v>
      </c>
      <c r="G121" s="22">
        <f t="shared" si="130"/>
        <v>-43851.570247933887</v>
      </c>
      <c r="H121" s="22">
        <f t="shared" si="130"/>
        <v>-44728.601652892561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80">
        <v>0.21</v>
      </c>
      <c r="C122" s="1" t="s">
        <v>27</v>
      </c>
      <c r="D122" s="22">
        <f t="shared" ref="D122:H122" si="131">D121-D120</f>
        <v>8677.6859504132226</v>
      </c>
      <c r="E122" s="22">
        <f t="shared" si="131"/>
        <v>8851.239669421484</v>
      </c>
      <c r="F122" s="22">
        <f t="shared" si="131"/>
        <v>9028.2644628099151</v>
      </c>
      <c r="G122" s="22">
        <f t="shared" si="131"/>
        <v>9208.8297520661145</v>
      </c>
      <c r="H122" s="22">
        <f t="shared" si="131"/>
        <v>9393.0063471074391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2"/>
      <c r="E123" s="22"/>
      <c r="F123" s="22"/>
      <c r="G123" s="22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4" t="s">
        <v>87</v>
      </c>
      <c r="D124" s="32">
        <f t="shared" ref="D124:H125" si="132">D116+D120</f>
        <v>-80000</v>
      </c>
      <c r="E124" s="32">
        <f t="shared" si="132"/>
        <v>-81600</v>
      </c>
      <c r="F124" s="32">
        <f t="shared" si="132"/>
        <v>-83232</v>
      </c>
      <c r="G124" s="32">
        <f t="shared" si="132"/>
        <v>-84896.639999999999</v>
      </c>
      <c r="H124" s="32">
        <f t="shared" si="132"/>
        <v>-86594.572799999994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4"/>
      <c r="C125" s="35" t="s">
        <v>88</v>
      </c>
      <c r="D125" s="77">
        <f t="shared" si="132"/>
        <v>-66115.702479338841</v>
      </c>
      <c r="E125" s="77">
        <f t="shared" si="132"/>
        <v>-67438.016528925626</v>
      </c>
      <c r="F125" s="77">
        <f t="shared" si="132"/>
        <v>-68786.776859504142</v>
      </c>
      <c r="G125" s="77">
        <f t="shared" si="132"/>
        <v>-70162.512396694219</v>
      </c>
      <c r="H125" s="77">
        <f t="shared" si="132"/>
        <v>-71565.762644628092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4" t="s">
        <v>99</v>
      </c>
      <c r="C126" s="1" t="s">
        <v>271</v>
      </c>
      <c r="D126" s="22">
        <v>-30000</v>
      </c>
      <c r="E126" s="22">
        <f t="shared" ref="E126:H126" si="133">D126*(1+E$41)</f>
        <v>-30600</v>
      </c>
      <c r="F126" s="22">
        <f t="shared" si="133"/>
        <v>-31212</v>
      </c>
      <c r="G126" s="22">
        <f t="shared" si="133"/>
        <v>-31836.240000000002</v>
      </c>
      <c r="H126" s="22">
        <f t="shared" si="133"/>
        <v>-32472.964800000002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4"/>
      <c r="C127" s="1" t="s">
        <v>272</v>
      </c>
      <c r="D127" s="22">
        <f t="shared" ref="D127:H127" si="134">D126/(1+$B$128)</f>
        <v>-24793.388429752067</v>
      </c>
      <c r="E127" s="22">
        <f t="shared" si="134"/>
        <v>-25289.25619834711</v>
      </c>
      <c r="F127" s="22">
        <f t="shared" si="134"/>
        <v>-25795.041322314049</v>
      </c>
      <c r="G127" s="22">
        <f t="shared" si="134"/>
        <v>-26310.942148760332</v>
      </c>
      <c r="H127" s="22">
        <f t="shared" si="134"/>
        <v>-26837.160991735538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80">
        <v>0.21</v>
      </c>
      <c r="C128" s="1" t="s">
        <v>27</v>
      </c>
      <c r="D128" s="22">
        <f t="shared" ref="D128:H128" si="135">D127-D126</f>
        <v>5206.6115702479328</v>
      </c>
      <c r="E128" s="22">
        <f t="shared" si="135"/>
        <v>5310.7438016528904</v>
      </c>
      <c r="F128" s="22">
        <f t="shared" si="135"/>
        <v>5416.9586776859505</v>
      </c>
      <c r="G128" s="22">
        <f t="shared" si="135"/>
        <v>5525.2978512396694</v>
      </c>
      <c r="H128" s="22">
        <f t="shared" si="135"/>
        <v>5635.8038082644634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4"/>
      <c r="C129" s="1"/>
      <c r="D129" s="22"/>
      <c r="E129" s="22"/>
      <c r="F129" s="22"/>
      <c r="G129" s="22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 t="s">
        <v>273</v>
      </c>
      <c r="D130" s="22">
        <v>-20000</v>
      </c>
      <c r="E130" s="22">
        <f t="shared" ref="E130:H130" si="136">D130*(1+E$41)</f>
        <v>-20400</v>
      </c>
      <c r="F130" s="22">
        <f t="shared" si="136"/>
        <v>-20808</v>
      </c>
      <c r="G130" s="22">
        <f t="shared" si="136"/>
        <v>-21224.16</v>
      </c>
      <c r="H130" s="22">
        <f t="shared" si="136"/>
        <v>-21648.643199999999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4"/>
      <c r="C131" s="1" t="s">
        <v>274</v>
      </c>
      <c r="D131" s="22">
        <f t="shared" ref="D131:H131" si="137">D130/(1+$B$132)</f>
        <v>-16528.92561983471</v>
      </c>
      <c r="E131" s="22">
        <f t="shared" si="137"/>
        <v>-16859.504132231406</v>
      </c>
      <c r="F131" s="22">
        <f t="shared" si="137"/>
        <v>-17196.694214876032</v>
      </c>
      <c r="G131" s="22">
        <f t="shared" si="137"/>
        <v>-17540.628099173555</v>
      </c>
      <c r="H131" s="22">
        <f t="shared" si="137"/>
        <v>-17891.440661157023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80">
        <v>0.21</v>
      </c>
      <c r="C132" s="1" t="s">
        <v>27</v>
      </c>
      <c r="D132" s="22">
        <f t="shared" ref="D132:H132" si="138">D131-D130</f>
        <v>3471.0743801652898</v>
      </c>
      <c r="E132" s="22">
        <f t="shared" si="138"/>
        <v>3540.4958677685936</v>
      </c>
      <c r="F132" s="22">
        <f t="shared" si="138"/>
        <v>3611.3057851239682</v>
      </c>
      <c r="G132" s="22">
        <f t="shared" si="138"/>
        <v>3683.5319008264451</v>
      </c>
      <c r="H132" s="22">
        <f t="shared" si="138"/>
        <v>3757.2025388429756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7"/>
      <c r="C133" s="1"/>
      <c r="D133" s="22"/>
      <c r="E133" s="22"/>
      <c r="F133" s="22"/>
      <c r="G133" s="22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7"/>
      <c r="C134" s="24" t="s">
        <v>87</v>
      </c>
      <c r="D134" s="32">
        <f t="shared" ref="D134:H135" si="139">D126+D130</f>
        <v>-50000</v>
      </c>
      <c r="E134" s="32">
        <f t="shared" si="139"/>
        <v>-51000</v>
      </c>
      <c r="F134" s="32">
        <f t="shared" si="139"/>
        <v>-52020</v>
      </c>
      <c r="G134" s="32">
        <f t="shared" si="139"/>
        <v>-53060.4</v>
      </c>
      <c r="H134" s="32">
        <f t="shared" si="139"/>
        <v>-54121.608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4"/>
      <c r="C135" s="35" t="s">
        <v>88</v>
      </c>
      <c r="D135" s="77">
        <f t="shared" si="139"/>
        <v>-41322.314049586777</v>
      </c>
      <c r="E135" s="77">
        <f t="shared" si="139"/>
        <v>-42148.760330578516</v>
      </c>
      <c r="F135" s="77">
        <f t="shared" si="139"/>
        <v>-42991.735537190078</v>
      </c>
      <c r="G135" s="77">
        <f t="shared" si="139"/>
        <v>-43851.570247933887</v>
      </c>
      <c r="H135" s="77">
        <f t="shared" si="139"/>
        <v>-44728.601652892561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4" t="s">
        <v>100</v>
      </c>
      <c r="C136" s="224" t="s">
        <v>263</v>
      </c>
      <c r="D136" s="78">
        <f>-50000</f>
        <v>-50000</v>
      </c>
      <c r="E136" s="78">
        <f>D136*(1+E$41*0)</f>
        <v>-50000</v>
      </c>
      <c r="F136" s="78">
        <f t="shared" ref="F136:H136" si="140">E136*(1+F$41*0)</f>
        <v>-50000</v>
      </c>
      <c r="G136" s="78">
        <f t="shared" si="140"/>
        <v>-50000</v>
      </c>
      <c r="H136" s="78">
        <f t="shared" si="140"/>
        <v>-50000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4"/>
      <c r="C137" s="224" t="s">
        <v>264</v>
      </c>
      <c r="D137" s="78">
        <f>D136/(1+$B$138)</f>
        <v>-41322.314049586777</v>
      </c>
      <c r="E137" s="78">
        <f t="shared" ref="E137:H137" si="141">E136/(1+$B$138)</f>
        <v>-41322.314049586777</v>
      </c>
      <c r="F137" s="78">
        <f t="shared" si="141"/>
        <v>-41322.314049586777</v>
      </c>
      <c r="G137" s="78">
        <f t="shared" si="141"/>
        <v>-41322.314049586777</v>
      </c>
      <c r="H137" s="78">
        <f t="shared" si="141"/>
        <v>-41322.314049586777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81">
        <v>0.21</v>
      </c>
      <c r="C138" s="14" t="s">
        <v>27</v>
      </c>
      <c r="D138" s="60">
        <f t="shared" ref="D138:H138" si="142">-D137*$B$138</f>
        <v>8677.6859504132226</v>
      </c>
      <c r="E138" s="60">
        <f t="shared" si="142"/>
        <v>8677.6859504132226</v>
      </c>
      <c r="F138" s="60">
        <f t="shared" si="142"/>
        <v>8677.6859504132226</v>
      </c>
      <c r="G138" s="60">
        <f t="shared" si="142"/>
        <v>8677.6859504132226</v>
      </c>
      <c r="H138" s="60">
        <f t="shared" si="142"/>
        <v>8677.6859504132226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79" t="s">
        <v>101</v>
      </c>
      <c r="C139" s="225" t="s">
        <v>263</v>
      </c>
      <c r="D139" s="80">
        <f t="shared" ref="D139:H139" si="143">D140-D141</f>
        <v>-60500</v>
      </c>
      <c r="E139" s="80">
        <f t="shared" si="143"/>
        <v>-44431.199999999997</v>
      </c>
      <c r="F139" s="80">
        <f t="shared" si="143"/>
        <v>-45319.824000000001</v>
      </c>
      <c r="G139" s="80">
        <f t="shared" si="143"/>
        <v>-46226.220480000004</v>
      </c>
      <c r="H139" s="80">
        <f t="shared" si="143"/>
        <v>-47150.744889600006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22" t="s">
        <v>264</v>
      </c>
      <c r="D140" s="22">
        <f>-12*3000-14000</f>
        <v>-50000</v>
      </c>
      <c r="E140" s="22">
        <f>-12*3000*(1+E$41)</f>
        <v>-36720</v>
      </c>
      <c r="F140" s="22">
        <f t="shared" ref="F140:H140" si="144">E140*(1+F$41)</f>
        <v>-37454.400000000001</v>
      </c>
      <c r="G140" s="22">
        <f t="shared" si="144"/>
        <v>-38203.488000000005</v>
      </c>
      <c r="H140" s="22">
        <f t="shared" si="144"/>
        <v>-38967.557760000003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81">
        <v>0.21</v>
      </c>
      <c r="C141" s="14" t="s">
        <v>27</v>
      </c>
      <c r="D141" s="60">
        <f t="shared" ref="D141:H141" si="145">-D140*$B$141</f>
        <v>10500</v>
      </c>
      <c r="E141" s="60">
        <f t="shared" si="145"/>
        <v>7711.2</v>
      </c>
      <c r="F141" s="60">
        <f t="shared" si="145"/>
        <v>7865.424</v>
      </c>
      <c r="G141" s="60">
        <f t="shared" si="145"/>
        <v>8022.7324800000006</v>
      </c>
      <c r="H141" s="60">
        <f t="shared" si="145"/>
        <v>8183.1871296000008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79" t="s">
        <v>40</v>
      </c>
      <c r="C142" s="16" t="s">
        <v>66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4"/>
      <c r="C143" s="1" t="s">
        <v>102</v>
      </c>
      <c r="D143" s="22">
        <f t="shared" ref="D143:H143" si="146">D142+D144</f>
        <v>0</v>
      </c>
      <c r="E143" s="22">
        <f t="shared" si="146"/>
        <v>0</v>
      </c>
      <c r="F143" s="22">
        <f t="shared" si="146"/>
        <v>0</v>
      </c>
      <c r="G143" s="22">
        <f t="shared" si="146"/>
        <v>0</v>
      </c>
      <c r="H143" s="22">
        <f t="shared" si="146"/>
        <v>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59">
        <v>0.21</v>
      </c>
      <c r="C144" s="14" t="s">
        <v>27</v>
      </c>
      <c r="D144" s="60">
        <f t="shared" ref="D144:H144" si="147">-D142*$B$144</f>
        <v>0</v>
      </c>
      <c r="E144" s="60">
        <f t="shared" si="147"/>
        <v>0</v>
      </c>
      <c r="F144" s="60">
        <f t="shared" si="147"/>
        <v>0</v>
      </c>
      <c r="G144" s="60">
        <f t="shared" si="147"/>
        <v>0</v>
      </c>
      <c r="H144" s="60">
        <f t="shared" si="147"/>
        <v>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4" t="s">
        <v>39</v>
      </c>
      <c r="C145" s="1" t="s">
        <v>275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 t="s">
        <v>266</v>
      </c>
      <c r="D146" s="22">
        <f t="shared" ref="D146:H146" si="148">D145+D147</f>
        <v>0</v>
      </c>
      <c r="E146" s="22">
        <f t="shared" si="148"/>
        <v>0</v>
      </c>
      <c r="F146" s="22">
        <f t="shared" si="148"/>
        <v>0</v>
      </c>
      <c r="G146" s="22">
        <f t="shared" si="148"/>
        <v>0</v>
      </c>
      <c r="H146" s="22">
        <f t="shared" si="148"/>
        <v>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59">
        <v>0.15</v>
      </c>
      <c r="C147" s="14" t="s">
        <v>27</v>
      </c>
      <c r="D147" s="60">
        <f t="shared" ref="D147:H147" si="149">-D145*$B$147</f>
        <v>0</v>
      </c>
      <c r="E147" s="60">
        <f t="shared" si="149"/>
        <v>0</v>
      </c>
      <c r="F147" s="60">
        <f t="shared" si="149"/>
        <v>0</v>
      </c>
      <c r="G147" s="60">
        <f t="shared" si="149"/>
        <v>0</v>
      </c>
      <c r="H147" s="60">
        <f t="shared" si="149"/>
        <v>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4" t="s">
        <v>27</v>
      </c>
      <c r="C148" s="1" t="s">
        <v>103</v>
      </c>
      <c r="D148" s="22">
        <v>90000</v>
      </c>
      <c r="E148" s="22">
        <v>0</v>
      </c>
      <c r="F148" s="22">
        <v>0</v>
      </c>
      <c r="G148" s="22">
        <v>0</v>
      </c>
      <c r="H148" s="22">
        <v>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2"/>
      <c r="E149" s="22"/>
      <c r="F149" s="22"/>
      <c r="G149" s="22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9439-C9D4-4605-8F86-C13747E8CD54}">
  <sheetPr>
    <tabColor theme="0" tint="-0.249977111117893"/>
  </sheetPr>
  <dimension ref="B1:O33"/>
  <sheetViews>
    <sheetView workbookViewId="0">
      <selection activeCell="D36" sqref="D36"/>
    </sheetView>
  </sheetViews>
  <sheetFormatPr defaultRowHeight="14.25" x14ac:dyDescent="0.2"/>
  <cols>
    <col min="1" max="1" width="9" style="179"/>
    <col min="2" max="2" width="35.25" style="179" bestFit="1" customWidth="1"/>
    <col min="3" max="8" width="9" style="179"/>
    <col min="9" max="9" width="35.25" style="179" bestFit="1" customWidth="1"/>
    <col min="10" max="13" width="9" style="179"/>
    <col min="14" max="14" width="10.5" style="179" customWidth="1"/>
    <col min="15" max="15" width="20.375" style="179" customWidth="1"/>
    <col min="16" max="16384" width="9" style="179"/>
  </cols>
  <sheetData>
    <row r="1" spans="2:15" ht="15" x14ac:dyDescent="0.25">
      <c r="B1" s="188" t="s">
        <v>242</v>
      </c>
      <c r="I1" s="188" t="s">
        <v>243</v>
      </c>
    </row>
    <row r="2" spans="2:15" x14ac:dyDescent="0.2">
      <c r="B2" s="187"/>
      <c r="I2" s="190" t="s">
        <v>249</v>
      </c>
    </row>
    <row r="3" spans="2:15" ht="15" x14ac:dyDescent="0.25">
      <c r="B3" s="185" t="s">
        <v>25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I3" s="185" t="s">
        <v>25</v>
      </c>
      <c r="J3" s="10">
        <v>2020</v>
      </c>
      <c r="K3" s="10">
        <v>2021</v>
      </c>
      <c r="L3" s="10">
        <v>2022</v>
      </c>
      <c r="M3" s="10">
        <v>2023</v>
      </c>
      <c r="N3" s="10">
        <v>2024</v>
      </c>
      <c r="O3" s="189" t="s">
        <v>246</v>
      </c>
    </row>
    <row r="4" spans="2:15" ht="15" x14ac:dyDescent="0.25">
      <c r="B4" s="1" t="s">
        <v>47</v>
      </c>
      <c r="C4" s="13">
        <f>BP_Actuaria_2020!D29</f>
        <v>13250</v>
      </c>
      <c r="D4" s="13">
        <f>BP_Actuaria_2020!E29</f>
        <v>6672</v>
      </c>
      <c r="E4" s="13">
        <f>BP_Actuaria_2020!F29</f>
        <v>10695.440000000002</v>
      </c>
      <c r="F4" s="13">
        <f>BP_Actuaria_2020!G29</f>
        <v>14669.348799999985</v>
      </c>
      <c r="G4" s="13">
        <f>BP_Actuaria_2020!H29</f>
        <v>18592.735775999994</v>
      </c>
      <c r="I4" s="1" t="s">
        <v>47</v>
      </c>
      <c r="J4" s="13">
        <f>BP_Actuaria_2020_sensDPH!D29</f>
        <v>10250</v>
      </c>
      <c r="K4" s="13">
        <f>BP_Actuaria_2020_sensDPH!E29</f>
        <v>4468.8000000000029</v>
      </c>
      <c r="L4" s="13">
        <f>BP_Actuaria_2020_sensDPH!F29</f>
        <v>8448.1759999999995</v>
      </c>
      <c r="M4" s="13">
        <f>BP_Actuaria_2020_sensDPH!G29</f>
        <v>12377.13951999999</v>
      </c>
      <c r="N4" s="13">
        <f>BP_Actuaria_2020_sensDPH!H29</f>
        <v>16254.682310399992</v>
      </c>
      <c r="O4" s="190" t="s">
        <v>245</v>
      </c>
    </row>
    <row r="5" spans="2:15" ht="15" x14ac:dyDescent="0.25">
      <c r="B5" s="1" t="s">
        <v>48</v>
      </c>
      <c r="C5" s="13">
        <f>BP_Actuaria_2020!D30</f>
        <v>-47500</v>
      </c>
      <c r="D5" s="13">
        <f>BP_Actuaria_2020!E30</f>
        <v>3980</v>
      </c>
      <c r="E5" s="13">
        <f>BP_Actuaria_2020!F30</f>
        <v>1919.5999999999985</v>
      </c>
      <c r="F5" s="13">
        <f>BP_Actuaria_2020!G30</f>
        <v>-182.00800000000891</v>
      </c>
      <c r="G5" s="13">
        <f>BP_Actuaria_2020!H30</f>
        <v>-2325.6481600000116</v>
      </c>
      <c r="I5" s="1" t="s">
        <v>48</v>
      </c>
      <c r="J5" s="13">
        <f>BP_Actuaria_2020_sensDPH!D30</f>
        <v>-47500</v>
      </c>
      <c r="K5" s="13">
        <f>BP_Actuaria_2020_sensDPH!E30</f>
        <v>3980</v>
      </c>
      <c r="L5" s="13">
        <f>BP_Actuaria_2020_sensDPH!F30</f>
        <v>1919.5999999999985</v>
      </c>
      <c r="M5" s="13">
        <f>BP_Actuaria_2020_sensDPH!G30</f>
        <v>-182.00800000000891</v>
      </c>
      <c r="N5" s="13">
        <f>BP_Actuaria_2020_sensDPH!H30</f>
        <v>-2325.6481600000116</v>
      </c>
      <c r="O5" s="190"/>
    </row>
    <row r="6" spans="2:15" ht="15" x14ac:dyDescent="0.25">
      <c r="B6" s="1" t="s">
        <v>49</v>
      </c>
      <c r="C6" s="13">
        <f>BP_Actuaria_2020!D31</f>
        <v>-23700</v>
      </c>
      <c r="D6" s="13">
        <f>BP_Actuaria_2020!E31</f>
        <v>-31496</v>
      </c>
      <c r="E6" s="13">
        <f>BP_Actuaria_2020!F31</f>
        <v>-26205.919999999998</v>
      </c>
      <c r="F6" s="13">
        <f>BP_Actuaria_2020!G31</f>
        <v>-16930.038399999998</v>
      </c>
      <c r="G6" s="13">
        <f>BP_Actuaria_2020!H31</f>
        <v>-7668.6391680000015</v>
      </c>
      <c r="I6" s="1" t="s">
        <v>49</v>
      </c>
      <c r="J6" s="13">
        <f>BP_Actuaria_2020_sensDPH!D31</f>
        <v>-23700</v>
      </c>
      <c r="K6" s="13">
        <f>BP_Actuaria_2020_sensDPH!E31</f>
        <v>-31496</v>
      </c>
      <c r="L6" s="13">
        <f>BP_Actuaria_2020_sensDPH!F31</f>
        <v>-26205.919999999998</v>
      </c>
      <c r="M6" s="13">
        <f>BP_Actuaria_2020_sensDPH!G31</f>
        <v>-16930.038399999998</v>
      </c>
      <c r="N6" s="13">
        <f>BP_Actuaria_2020_sensDPH!H31</f>
        <v>-7668.6391680000015</v>
      </c>
      <c r="O6" s="190"/>
    </row>
    <row r="7" spans="2:15" ht="15" x14ac:dyDescent="0.25">
      <c r="B7" s="1" t="s">
        <v>50</v>
      </c>
      <c r="C7" s="13">
        <f>BP_Actuaria_2020!D32</f>
        <v>41058.282646789099</v>
      </c>
      <c r="D7" s="13">
        <f>BP_Actuaria_2020!E32</f>
        <v>41073.45620050811</v>
      </c>
      <c r="E7" s="13">
        <f>BP_Actuaria_2020!F32</f>
        <v>41088.933225301487</v>
      </c>
      <c r="F7" s="13">
        <f>BP_Actuaria_2020!G32</f>
        <v>41104.719790590752</v>
      </c>
      <c r="G7" s="13">
        <f>BP_Actuaria_2020!H32</f>
        <v>41120.822087185792</v>
      </c>
      <c r="I7" s="1" t="s">
        <v>50</v>
      </c>
      <c r="J7" s="13">
        <f>BP_Actuaria_2020_sensDPH!D32</f>
        <v>40299.604960838682</v>
      </c>
      <c r="K7" s="13">
        <f>BP_Actuaria_2020_sensDPH!E32</f>
        <v>40299.604960838682</v>
      </c>
      <c r="L7" s="13">
        <f>BP_Actuaria_2020_sensDPH!F32</f>
        <v>40299.604960838682</v>
      </c>
      <c r="M7" s="13">
        <f>BP_Actuaria_2020_sensDPH!G32</f>
        <v>40299.604960838682</v>
      </c>
      <c r="N7" s="13">
        <f>BP_Actuaria_2020_sensDPH!H32</f>
        <v>40299.604960838682</v>
      </c>
      <c r="O7" s="190" t="s">
        <v>244</v>
      </c>
    </row>
    <row r="8" spans="2:15" ht="15" x14ac:dyDescent="0.25">
      <c r="B8" s="1" t="s">
        <v>51</v>
      </c>
      <c r="C8" s="13">
        <f>BP_Actuaria_2020!D33</f>
        <v>-50000</v>
      </c>
      <c r="D8" s="13">
        <f>BP_Actuaria_2020!E33</f>
        <v>-51000</v>
      </c>
      <c r="E8" s="13">
        <f>BP_Actuaria_2020!F33</f>
        <v>-52020</v>
      </c>
      <c r="F8" s="13">
        <f>BP_Actuaria_2020!G33</f>
        <v>-53060.4</v>
      </c>
      <c r="G8" s="13">
        <f>BP_Actuaria_2020!H33</f>
        <v>-54121.608</v>
      </c>
      <c r="I8" s="1" t="s">
        <v>51</v>
      </c>
      <c r="J8" s="13">
        <f>BP_Actuaria_2020_sensDPH!D33</f>
        <v>-50000</v>
      </c>
      <c r="K8" s="13">
        <f>BP_Actuaria_2020_sensDPH!E33</f>
        <v>-51000</v>
      </c>
      <c r="L8" s="13">
        <f>BP_Actuaria_2020_sensDPH!F33</f>
        <v>-52020</v>
      </c>
      <c r="M8" s="13">
        <f>BP_Actuaria_2020_sensDPH!G33</f>
        <v>-53060.4</v>
      </c>
      <c r="N8" s="13">
        <f>BP_Actuaria_2020_sensDPH!H33</f>
        <v>-54121.608</v>
      </c>
      <c r="O8" s="191"/>
    </row>
    <row r="9" spans="2:15" ht="15" x14ac:dyDescent="0.25">
      <c r="B9" s="1" t="s">
        <v>52</v>
      </c>
      <c r="C9" s="13">
        <f>BP_Actuaria_2020!D34</f>
        <v>0</v>
      </c>
      <c r="D9" s="13">
        <f>BP_Actuaria_2020!E34</f>
        <v>0</v>
      </c>
      <c r="E9" s="13">
        <f>BP_Actuaria_2020!F34</f>
        <v>0</v>
      </c>
      <c r="F9" s="13">
        <f>BP_Actuaria_2020!G34</f>
        <v>0</v>
      </c>
      <c r="G9" s="13">
        <f>BP_Actuaria_2020!H34</f>
        <v>0</v>
      </c>
      <c r="I9" s="1" t="s">
        <v>52</v>
      </c>
      <c r="J9" s="13">
        <f>BP_Actuaria_2020_sensDPH!D34</f>
        <v>0</v>
      </c>
      <c r="K9" s="13">
        <f>BP_Actuaria_2020_sensDPH!E34</f>
        <v>0</v>
      </c>
      <c r="L9" s="13">
        <f>BP_Actuaria_2020_sensDPH!F34</f>
        <v>0</v>
      </c>
      <c r="M9" s="13">
        <f>BP_Actuaria_2020_sensDPH!G34</f>
        <v>0</v>
      </c>
      <c r="N9" s="13">
        <f>BP_Actuaria_2020_sensDPH!H34</f>
        <v>0</v>
      </c>
      <c r="O9" s="191"/>
    </row>
    <row r="10" spans="2:15" ht="15" x14ac:dyDescent="0.25">
      <c r="B10" s="1"/>
      <c r="C10" s="13"/>
      <c r="D10" s="13"/>
      <c r="E10" s="13"/>
      <c r="F10" s="13"/>
      <c r="G10" s="13"/>
      <c r="I10" s="1"/>
      <c r="J10" s="13"/>
      <c r="K10" s="13"/>
      <c r="L10" s="13"/>
      <c r="M10" s="13"/>
      <c r="N10" s="13"/>
      <c r="O10" s="191"/>
    </row>
    <row r="11" spans="2:15" ht="15" x14ac:dyDescent="0.25">
      <c r="B11" s="11" t="s">
        <v>53</v>
      </c>
      <c r="C11" s="23">
        <f>BP_Actuaria_2020!D36</f>
        <v>-66891.717353210901</v>
      </c>
      <c r="D11" s="23">
        <f>BP_Actuaria_2020!E36</f>
        <v>-30770.54379949189</v>
      </c>
      <c r="E11" s="23">
        <f>BP_Actuaria_2020!F36</f>
        <v>-24521.94677469851</v>
      </c>
      <c r="F11" s="23">
        <f>BP_Actuaria_2020!G36</f>
        <v>-14398.37780940927</v>
      </c>
      <c r="G11" s="23">
        <f>BP_Actuaria_2020!H36</f>
        <v>-4402.3374648142271</v>
      </c>
      <c r="I11" s="11" t="s">
        <v>53</v>
      </c>
      <c r="J11" s="23">
        <f>BP_Actuaria_2020_sensDPH!D36</f>
        <v>-70650.395039161318</v>
      </c>
      <c r="K11" s="23">
        <f>BP_Actuaria_2020_sensDPH!E36</f>
        <v>-33747.595039161315</v>
      </c>
      <c r="L11" s="23">
        <f>BP_Actuaria_2020_sensDPH!F36</f>
        <v>-27558.539039161318</v>
      </c>
      <c r="M11" s="23">
        <f>BP_Actuaria_2020_sensDPH!G36</f>
        <v>-17495.701919161336</v>
      </c>
      <c r="N11" s="23">
        <f>BP_Actuaria_2020_sensDPH!H36</f>
        <v>-7561.608056761339</v>
      </c>
      <c r="O11" s="191"/>
    </row>
    <row r="12" spans="2:15" x14ac:dyDescent="0.2">
      <c r="O12" s="191"/>
    </row>
    <row r="13" spans="2:15" x14ac:dyDescent="0.2">
      <c r="O13" s="191"/>
    </row>
    <row r="14" spans="2:15" ht="15" x14ac:dyDescent="0.25">
      <c r="B14" s="186" t="s">
        <v>26</v>
      </c>
      <c r="C14" s="10">
        <v>2020</v>
      </c>
      <c r="D14" s="10">
        <v>2021</v>
      </c>
      <c r="E14" s="10">
        <v>2022</v>
      </c>
      <c r="F14" s="10">
        <v>2023</v>
      </c>
      <c r="G14" s="10">
        <v>2024</v>
      </c>
      <c r="I14" s="186" t="s">
        <v>26</v>
      </c>
      <c r="J14" s="10">
        <v>2020</v>
      </c>
      <c r="K14" s="10">
        <v>2021</v>
      </c>
      <c r="L14" s="10">
        <v>2022</v>
      </c>
      <c r="M14" s="10">
        <v>2023</v>
      </c>
      <c r="N14" s="10">
        <v>2024</v>
      </c>
      <c r="O14" s="191"/>
    </row>
    <row r="15" spans="2:15" ht="15" x14ac:dyDescent="0.25">
      <c r="B15" s="1" t="s">
        <v>47</v>
      </c>
      <c r="C15" s="13">
        <f>BP_Actuaria_2020!K29</f>
        <v>32478.350700682713</v>
      </c>
      <c r="D15" s="13">
        <f>BP_Actuaria_2020!L29</f>
        <v>24142.917714696363</v>
      </c>
      <c r="E15" s="13">
        <f>BP_Actuaria_2020!M29</f>
        <v>28515.776068990286</v>
      </c>
      <c r="F15" s="13">
        <f>BP_Actuaria_2020!N29</f>
        <v>32846.091590370088</v>
      </c>
      <c r="G15" s="13">
        <f>BP_Actuaria_2020!O29</f>
        <v>37133.013422177501</v>
      </c>
      <c r="I15" s="1" t="s">
        <v>47</v>
      </c>
      <c r="J15" s="13">
        <f>BP_Actuaria_2020_sensDPH!K29</f>
        <v>8471.0743801652934</v>
      </c>
      <c r="K15" s="13">
        <f>BP_Actuaria_2020_sensDPH!L29</f>
        <v>3693.2231404958584</v>
      </c>
      <c r="L15" s="13">
        <f>BP_Actuaria_2020_sensDPH!M29</f>
        <v>6981.9636363636455</v>
      </c>
      <c r="M15" s="13">
        <f>BP_Actuaria_2020_sensDPH!N29</f>
        <v>10229.040925619833</v>
      </c>
      <c r="N15" s="13">
        <f>BP_Actuaria_2020_sensDPH!O29</f>
        <v>13433.621744132237</v>
      </c>
      <c r="O15" s="191"/>
    </row>
    <row r="16" spans="2:15" ht="15" x14ac:dyDescent="0.25">
      <c r="B16" s="1" t="s">
        <v>48</v>
      </c>
      <c r="C16" s="13">
        <f>BP_Actuaria_2020!K30</f>
        <v>-47500</v>
      </c>
      <c r="D16" s="13">
        <f>BP_Actuaria_2020!L30</f>
        <v>3980</v>
      </c>
      <c r="E16" s="13">
        <f>BP_Actuaria_2020!M30</f>
        <v>1919.6000000000058</v>
      </c>
      <c r="F16" s="13">
        <f>BP_Actuaria_2020!N30</f>
        <v>-182.00800000000163</v>
      </c>
      <c r="G16" s="13">
        <f>BP_Actuaria_2020!O30</f>
        <v>-2325.6481600000116</v>
      </c>
      <c r="I16" s="1" t="s">
        <v>48</v>
      </c>
      <c r="J16" s="13">
        <f>BP_Actuaria_2020_sensDPH!K30</f>
        <v>-39256.198347107435</v>
      </c>
      <c r="K16" s="13">
        <f>BP_Actuaria_2020_sensDPH!L30</f>
        <v>3289.2561983471096</v>
      </c>
      <c r="L16" s="13">
        <f>BP_Actuaria_2020_sensDPH!M30</f>
        <v>1586.4462809917313</v>
      </c>
      <c r="M16" s="13">
        <f>BP_Actuaria_2020_sensDPH!N30</f>
        <v>-150.41983471074491</v>
      </c>
      <c r="N16" s="13">
        <f>BP_Actuaria_2020_sensDPH!O30</f>
        <v>-1922.0232727272814</v>
      </c>
      <c r="O16" s="191"/>
    </row>
    <row r="17" spans="2:15" ht="15" x14ac:dyDescent="0.25">
      <c r="B17" s="1" t="s">
        <v>49</v>
      </c>
      <c r="C17" s="13">
        <f>BP_Actuaria_2020!K31</f>
        <v>-23700</v>
      </c>
      <c r="D17" s="13">
        <f>BP_Actuaria_2020!L31</f>
        <v>-31496</v>
      </c>
      <c r="E17" s="13">
        <f>BP_Actuaria_2020!M31</f>
        <v>-26205.919999999998</v>
      </c>
      <c r="F17" s="13">
        <f>BP_Actuaria_2020!N31</f>
        <v>-16930.038399999998</v>
      </c>
      <c r="G17" s="13">
        <f>BP_Actuaria_2020!O31</f>
        <v>-7668.6391680000015</v>
      </c>
      <c r="I17" s="1" t="s">
        <v>49</v>
      </c>
      <c r="J17" s="13">
        <f>BP_Actuaria_2020_sensDPH!K31</f>
        <v>-19586.776859504134</v>
      </c>
      <c r="K17" s="13">
        <f>BP_Actuaria_2020_sensDPH!L31</f>
        <v>-26029.752066115703</v>
      </c>
      <c r="L17" s="13">
        <f>BP_Actuaria_2020_sensDPH!M31</f>
        <v>-21657.78512396694</v>
      </c>
      <c r="M17" s="13">
        <f>BP_Actuaria_2020_sensDPH!N31</f>
        <v>-13991.767272727273</v>
      </c>
      <c r="N17" s="13">
        <f>BP_Actuaria_2020_sensDPH!O31</f>
        <v>-6337.7183206611589</v>
      </c>
      <c r="O17" s="191"/>
    </row>
    <row r="18" spans="2:15" ht="15" x14ac:dyDescent="0.25">
      <c r="B18" s="1" t="s">
        <v>50</v>
      </c>
      <c r="C18" s="13">
        <f>BP_Actuaria_2020!K32</f>
        <v>8382.6122526067193</v>
      </c>
      <c r="D18" s="13">
        <f>BP_Actuaria_2020!L32</f>
        <v>8382.6122526067193</v>
      </c>
      <c r="E18" s="13">
        <f>BP_Actuaria_2020!M32</f>
        <v>8382.6122526067193</v>
      </c>
      <c r="F18" s="13">
        <f>BP_Actuaria_2020!N32</f>
        <v>8382.6122526067193</v>
      </c>
      <c r="G18" s="13">
        <f>BP_Actuaria_2020!O32</f>
        <v>8382.6122526067193</v>
      </c>
      <c r="I18" s="1" t="s">
        <v>50</v>
      </c>
      <c r="J18" s="13">
        <f>BP_Actuaria_2020_sensDPH!K32</f>
        <v>19663.603988143914</v>
      </c>
      <c r="K18" s="13">
        <f>BP_Actuaria_2020_sensDPH!L32</f>
        <v>19663.603988143914</v>
      </c>
      <c r="L18" s="13">
        <f>BP_Actuaria_2020_sensDPH!M32</f>
        <v>19663.603988143914</v>
      </c>
      <c r="M18" s="13">
        <f>BP_Actuaria_2020_sensDPH!N32</f>
        <v>19663.603988143914</v>
      </c>
      <c r="N18" s="13">
        <f>BP_Actuaria_2020_sensDPH!O32</f>
        <v>19663.603988143914</v>
      </c>
      <c r="O18" s="191"/>
    </row>
    <row r="19" spans="2:15" ht="15" x14ac:dyDescent="0.25">
      <c r="B19" s="1" t="s">
        <v>51</v>
      </c>
      <c r="C19" s="13">
        <f>BP_Actuaria_2020!K33</f>
        <v>-43478.260869565223</v>
      </c>
      <c r="D19" s="13">
        <f>BP_Actuaria_2020!L33</f>
        <v>-44347.826086956527</v>
      </c>
      <c r="E19" s="13">
        <f>BP_Actuaria_2020!M33</f>
        <v>-45234.782608695656</v>
      </c>
      <c r="F19" s="13">
        <f>BP_Actuaria_2020!N33</f>
        <v>-46139.478260869568</v>
      </c>
      <c r="G19" s="13">
        <f>BP_Actuaria_2020!O33</f>
        <v>-47062.267826086958</v>
      </c>
      <c r="I19" s="1" t="s">
        <v>51</v>
      </c>
      <c r="J19" s="13">
        <f>BP_Actuaria_2020_sensDPH!K33</f>
        <v>-41322.314049586777</v>
      </c>
      <c r="K19" s="13">
        <f>BP_Actuaria_2020_sensDPH!L33</f>
        <v>-42148.760330578516</v>
      </c>
      <c r="L19" s="13">
        <f>BP_Actuaria_2020_sensDPH!M33</f>
        <v>-42991.735537190085</v>
      </c>
      <c r="M19" s="13">
        <f>BP_Actuaria_2020_sensDPH!N33</f>
        <v>-43851.570247933887</v>
      </c>
      <c r="N19" s="13">
        <f>BP_Actuaria_2020_sensDPH!O33</f>
        <v>-44728.601652892561</v>
      </c>
      <c r="O19" s="191"/>
    </row>
    <row r="20" spans="2:15" ht="15" x14ac:dyDescent="0.25">
      <c r="B20" s="1" t="s">
        <v>52</v>
      </c>
      <c r="C20" s="13">
        <f>BP_Actuaria_2020!K34</f>
        <v>0</v>
      </c>
      <c r="D20" s="13">
        <f>BP_Actuaria_2020!L34</f>
        <v>0</v>
      </c>
      <c r="E20" s="13">
        <f>BP_Actuaria_2020!M34</f>
        <v>0</v>
      </c>
      <c r="F20" s="13">
        <f>BP_Actuaria_2020!N34</f>
        <v>0</v>
      </c>
      <c r="G20" s="13">
        <f>BP_Actuaria_2020!O34</f>
        <v>0</v>
      </c>
      <c r="I20" s="1" t="s">
        <v>52</v>
      </c>
      <c r="J20" s="13">
        <f>BP_Actuaria_2020_sensDPH!K34</f>
        <v>0</v>
      </c>
      <c r="K20" s="13">
        <f>BP_Actuaria_2020_sensDPH!L34</f>
        <v>0</v>
      </c>
      <c r="L20" s="13">
        <f>BP_Actuaria_2020_sensDPH!M34</f>
        <v>0</v>
      </c>
      <c r="M20" s="13">
        <f>BP_Actuaria_2020_sensDPH!N34</f>
        <v>0</v>
      </c>
      <c r="N20" s="13">
        <f>BP_Actuaria_2020_sensDPH!O34</f>
        <v>0</v>
      </c>
      <c r="O20" s="191"/>
    </row>
    <row r="21" spans="2:15" ht="15" x14ac:dyDescent="0.25">
      <c r="B21" s="1"/>
      <c r="C21" s="13"/>
      <c r="D21" s="13"/>
      <c r="E21" s="13"/>
      <c r="F21" s="13"/>
      <c r="G21" s="13"/>
      <c r="I21" s="1"/>
      <c r="J21" s="13"/>
      <c r="K21" s="13"/>
      <c r="L21" s="13"/>
      <c r="M21" s="13"/>
      <c r="N21" s="13"/>
      <c r="O21" s="191"/>
    </row>
    <row r="22" spans="2:15" ht="15" x14ac:dyDescent="0.25">
      <c r="B22" s="11" t="s">
        <v>53</v>
      </c>
      <c r="C22" s="23">
        <f>BP_Actuaria_2020!K36</f>
        <v>-73817.297916275798</v>
      </c>
      <c r="D22" s="23">
        <f>BP_Actuaria_2020!L36</f>
        <v>-39338.296119653445</v>
      </c>
      <c r="E22" s="23">
        <f>BP_Actuaria_2020!M36</f>
        <v>-32622.714287098643</v>
      </c>
      <c r="F22" s="23">
        <f>BP_Actuaria_2020!N36</f>
        <v>-22022.82081789276</v>
      </c>
      <c r="G22" s="23">
        <f>BP_Actuaria_2020!O36</f>
        <v>-11540.929479302751</v>
      </c>
      <c r="I22" s="11" t="s">
        <v>53</v>
      </c>
      <c r="J22" s="23">
        <f>BP_Actuaria_2020_sensDPH!K36</f>
        <v>-72030.610887889139</v>
      </c>
      <c r="K22" s="23">
        <f>BP_Actuaria_2020_sensDPH!L36</f>
        <v>-41532.429069707337</v>
      </c>
      <c r="L22" s="23">
        <f>BP_Actuaria_2020_sensDPH!M36</f>
        <v>-36417.506755657734</v>
      </c>
      <c r="M22" s="23">
        <f>BP_Actuaria_2020_sensDPH!N36</f>
        <v>-28101.112441608158</v>
      </c>
      <c r="N22" s="23">
        <f>BP_Actuaria_2020_sensDPH!O36</f>
        <v>-19891.117514004851</v>
      </c>
      <c r="O22" s="191"/>
    </row>
    <row r="23" spans="2:15" x14ac:dyDescent="0.2">
      <c r="O23" s="191"/>
    </row>
    <row r="24" spans="2:15" x14ac:dyDescent="0.2">
      <c r="O24" s="191"/>
    </row>
    <row r="25" spans="2:15" ht="15" x14ac:dyDescent="0.25">
      <c r="B25" s="186" t="s">
        <v>27</v>
      </c>
      <c r="C25" s="10">
        <v>2020</v>
      </c>
      <c r="D25" s="10">
        <v>2021</v>
      </c>
      <c r="E25" s="10">
        <v>2022</v>
      </c>
      <c r="F25" s="10">
        <v>2023</v>
      </c>
      <c r="G25" s="10">
        <v>2024</v>
      </c>
      <c r="I25" s="186" t="s">
        <v>27</v>
      </c>
      <c r="J25" s="10">
        <v>2020</v>
      </c>
      <c r="K25" s="10">
        <v>2021</v>
      </c>
      <c r="L25" s="10">
        <v>2022</v>
      </c>
      <c r="M25" s="10">
        <v>2023</v>
      </c>
      <c r="N25" s="10">
        <v>2024</v>
      </c>
      <c r="O25" s="191"/>
    </row>
    <row r="26" spans="2:15" ht="15" x14ac:dyDescent="0.25">
      <c r="B26" s="1" t="s">
        <v>47</v>
      </c>
      <c r="C26" s="13">
        <f>BP_Actuaria_2020!R29</f>
        <v>19228.350700682713</v>
      </c>
      <c r="D26" s="13">
        <f>BP_Actuaria_2020!S29</f>
        <v>17470.917714696363</v>
      </c>
      <c r="E26" s="13">
        <f>BP_Actuaria_2020!T29</f>
        <v>17820.336068990295</v>
      </c>
      <c r="F26" s="13">
        <f>BP_Actuaria_2020!U29</f>
        <v>18176.742790370103</v>
      </c>
      <c r="G26" s="13">
        <f>BP_Actuaria_2020!V29</f>
        <v>18540.277646177507</v>
      </c>
      <c r="I26" s="1" t="s">
        <v>47</v>
      </c>
      <c r="J26" s="13">
        <f>BP_Actuaria_2020_sensDPH!R29</f>
        <v>-1778.9256198347139</v>
      </c>
      <c r="K26" s="13">
        <f>BP_Actuaria_2020_sensDPH!S29</f>
        <v>-775.57685950413816</v>
      </c>
      <c r="L26" s="13">
        <f>BP_Actuaria_2020_sensDPH!T29</f>
        <v>-1466.212363636364</v>
      </c>
      <c r="M26" s="13">
        <f>BP_Actuaria_2020_sensDPH!U29</f>
        <v>-2148.0985943801661</v>
      </c>
      <c r="N26" s="13">
        <f>BP_Actuaria_2020_sensDPH!V29</f>
        <v>-2821.0605662677681</v>
      </c>
      <c r="O26" s="190" t="s">
        <v>247</v>
      </c>
    </row>
    <row r="27" spans="2:15" ht="15" x14ac:dyDescent="0.25">
      <c r="B27" s="1" t="s">
        <v>48</v>
      </c>
      <c r="C27" s="13">
        <f>BP_Actuaria_2020!R30</f>
        <v>0</v>
      </c>
      <c r="D27" s="13">
        <f>BP_Actuaria_2020!S30</f>
        <v>0</v>
      </c>
      <c r="E27" s="13">
        <f>BP_Actuaria_2020!T30</f>
        <v>0</v>
      </c>
      <c r="F27" s="13">
        <f>BP_Actuaria_2020!U30</f>
        <v>0</v>
      </c>
      <c r="G27" s="13">
        <f>BP_Actuaria_2020!V30</f>
        <v>0</v>
      </c>
      <c r="I27" s="1" t="s">
        <v>48</v>
      </c>
      <c r="J27" s="13">
        <f>BP_Actuaria_2020_sensDPH!R30</f>
        <v>8243.8016528925618</v>
      </c>
      <c r="K27" s="13">
        <f>BP_Actuaria_2020_sensDPH!S30</f>
        <v>-690.74380165289404</v>
      </c>
      <c r="L27" s="13">
        <f>BP_Actuaria_2020_sensDPH!T30</f>
        <v>-333.15371900826358</v>
      </c>
      <c r="M27" s="13">
        <f>BP_Actuaria_2020_sensDPH!U30</f>
        <v>31.588165289256722</v>
      </c>
      <c r="N27" s="13">
        <f>BP_Actuaria_2020_sensDPH!V30</f>
        <v>403.62488727273012</v>
      </c>
      <c r="O27" s="190" t="s">
        <v>248</v>
      </c>
    </row>
    <row r="28" spans="2:15" ht="15" x14ac:dyDescent="0.25">
      <c r="B28" s="1" t="s">
        <v>49</v>
      </c>
      <c r="C28" s="13">
        <f>BP_Actuaria_2020!R31</f>
        <v>0</v>
      </c>
      <c r="D28" s="13">
        <f>BP_Actuaria_2020!S31</f>
        <v>0</v>
      </c>
      <c r="E28" s="13">
        <f>BP_Actuaria_2020!T31</f>
        <v>0</v>
      </c>
      <c r="F28" s="13">
        <f>BP_Actuaria_2020!U31</f>
        <v>0</v>
      </c>
      <c r="G28" s="13">
        <f>BP_Actuaria_2020!V31</f>
        <v>0</v>
      </c>
      <c r="I28" s="1" t="s">
        <v>49</v>
      </c>
      <c r="J28" s="13">
        <f>BP_Actuaria_2020_sensDPH!R31</f>
        <v>4113.2231404958684</v>
      </c>
      <c r="K28" s="13">
        <f>BP_Actuaria_2020_sensDPH!S31</f>
        <v>5466.2479338842986</v>
      </c>
      <c r="L28" s="13">
        <f>BP_Actuaria_2020_sensDPH!T31</f>
        <v>4548.1348760330584</v>
      </c>
      <c r="M28" s="13">
        <f>BP_Actuaria_2020_sensDPH!U31</f>
        <v>2938.2711272727274</v>
      </c>
      <c r="N28" s="13">
        <f>BP_Actuaria_2020_sensDPH!V31</f>
        <v>1330.9208473388435</v>
      </c>
      <c r="O28" s="191"/>
    </row>
    <row r="29" spans="2:15" ht="15" x14ac:dyDescent="0.25">
      <c r="B29" s="1" t="s">
        <v>50</v>
      </c>
      <c r="C29" s="13">
        <f>BP_Actuaria_2020!R32</f>
        <v>-32675.670394182373</v>
      </c>
      <c r="D29" s="13">
        <f>BP_Actuaria_2020!S32</f>
        <v>-32690.843947901383</v>
      </c>
      <c r="E29" s="13">
        <f>BP_Actuaria_2020!T32</f>
        <v>-32706.320972694768</v>
      </c>
      <c r="F29" s="13">
        <f>BP_Actuaria_2020!U32</f>
        <v>-32722.107537984033</v>
      </c>
      <c r="G29" s="13">
        <f>BP_Actuaria_2020!V32</f>
        <v>-32738.209834579073</v>
      </c>
      <c r="I29" s="1" t="s">
        <v>50</v>
      </c>
      <c r="J29" s="13">
        <f>BP_Actuaria_2020_sensDPH!R32</f>
        <v>-20636.000972694772</v>
      </c>
      <c r="K29" s="13">
        <f>BP_Actuaria_2020_sensDPH!S32</f>
        <v>-20636.000972694772</v>
      </c>
      <c r="L29" s="13">
        <f>BP_Actuaria_2020_sensDPH!T32</f>
        <v>-20636.000972694772</v>
      </c>
      <c r="M29" s="13">
        <f>BP_Actuaria_2020_sensDPH!U32</f>
        <v>-20636.000972694772</v>
      </c>
      <c r="N29" s="13">
        <f>BP_Actuaria_2020_sensDPH!V32</f>
        <v>-20636.000972694772</v>
      </c>
    </row>
    <row r="30" spans="2:15" ht="15" x14ac:dyDescent="0.25">
      <c r="B30" s="1" t="s">
        <v>51</v>
      </c>
      <c r="C30" s="13">
        <f>BP_Actuaria_2020!R33</f>
        <v>6521.7391304347766</v>
      </c>
      <c r="D30" s="13">
        <f>BP_Actuaria_2020!S33</f>
        <v>6652.1739130434726</v>
      </c>
      <c r="E30" s="13">
        <f>BP_Actuaria_2020!T33</f>
        <v>6785.2173913043443</v>
      </c>
      <c r="F30" s="13">
        <f>BP_Actuaria_2020!U33</f>
        <v>6920.9217391304337</v>
      </c>
      <c r="G30" s="13">
        <f>BP_Actuaria_2020!V33</f>
        <v>7059.3401739130422</v>
      </c>
      <c r="I30" s="1" t="s">
        <v>51</v>
      </c>
      <c r="J30" s="13">
        <f>BP_Actuaria_2020_sensDPH!R33</f>
        <v>8677.6859504132226</v>
      </c>
      <c r="K30" s="13">
        <f>BP_Actuaria_2020_sensDPH!S33</f>
        <v>8851.239669421484</v>
      </c>
      <c r="L30" s="13">
        <f>BP_Actuaria_2020_sensDPH!T33</f>
        <v>9028.2644628099151</v>
      </c>
      <c r="M30" s="13">
        <f>BP_Actuaria_2020_sensDPH!U33</f>
        <v>9208.8297520661145</v>
      </c>
      <c r="N30" s="13">
        <f>BP_Actuaria_2020_sensDPH!V33</f>
        <v>9393.0063471074391</v>
      </c>
    </row>
    <row r="31" spans="2:15" ht="15" x14ac:dyDescent="0.25">
      <c r="B31" s="1" t="s">
        <v>52</v>
      </c>
      <c r="C31" s="13">
        <f>BP_Actuaria_2020!R34</f>
        <v>0</v>
      </c>
      <c r="D31" s="13">
        <f>BP_Actuaria_2020!S34</f>
        <v>0</v>
      </c>
      <c r="E31" s="13">
        <f>BP_Actuaria_2020!T34</f>
        <v>0</v>
      </c>
      <c r="F31" s="13">
        <f>BP_Actuaria_2020!U34</f>
        <v>0</v>
      </c>
      <c r="G31" s="13">
        <f>BP_Actuaria_2020!V34</f>
        <v>0</v>
      </c>
      <c r="I31" s="1" t="s">
        <v>52</v>
      </c>
      <c r="J31" s="13">
        <f>BP_Actuaria_2020_sensDPH!R34</f>
        <v>0</v>
      </c>
      <c r="K31" s="13">
        <f>BP_Actuaria_2020_sensDPH!S34</f>
        <v>0</v>
      </c>
      <c r="L31" s="13">
        <f>BP_Actuaria_2020_sensDPH!T34</f>
        <v>0</v>
      </c>
      <c r="M31" s="13">
        <f>BP_Actuaria_2020_sensDPH!U34</f>
        <v>0</v>
      </c>
      <c r="N31" s="13">
        <f>BP_Actuaria_2020_sensDPH!V34</f>
        <v>0</v>
      </c>
    </row>
    <row r="32" spans="2:15" ht="15" x14ac:dyDescent="0.25">
      <c r="B32" s="1"/>
      <c r="C32" s="13"/>
      <c r="D32" s="13"/>
      <c r="E32" s="13"/>
      <c r="F32" s="13"/>
      <c r="G32" s="13"/>
      <c r="I32" s="1"/>
      <c r="J32" s="13"/>
      <c r="K32" s="13"/>
      <c r="L32" s="13"/>
      <c r="M32" s="13"/>
      <c r="N32" s="13"/>
    </row>
    <row r="33" spans="2:14" ht="15" x14ac:dyDescent="0.25">
      <c r="B33" s="11" t="s">
        <v>53</v>
      </c>
      <c r="C33" s="23">
        <f>BP_Actuaria_2020!R36</f>
        <v>-6925.5805630648829</v>
      </c>
      <c r="D33" s="23">
        <f>BP_Actuaria_2020!S36</f>
        <v>-8567.7523201615477</v>
      </c>
      <c r="E33" s="23">
        <f>BP_Actuaria_2020!T36</f>
        <v>-8100.7675124001289</v>
      </c>
      <c r="F33" s="23">
        <f>BP_Actuaria_2020!U36</f>
        <v>-7624.4430084834967</v>
      </c>
      <c r="G33" s="23">
        <f>BP_Actuaria_2020!V36</f>
        <v>-7138.592014488524</v>
      </c>
      <c r="I33" s="11" t="s">
        <v>53</v>
      </c>
      <c r="J33" s="23">
        <f>BP_Actuaria_2020_sensDPH!R36</f>
        <v>-1380.2158487278321</v>
      </c>
      <c r="K33" s="23">
        <f>BP_Actuaria_2020_sensDPH!S36</f>
        <v>-7784.8340305460224</v>
      </c>
      <c r="L33" s="23">
        <f>BP_Actuaria_2020_sensDPH!T36</f>
        <v>-8858.9677164964269</v>
      </c>
      <c r="M33" s="23">
        <f>BP_Actuaria_2020_sensDPH!U36</f>
        <v>-10605.41052244684</v>
      </c>
      <c r="N33" s="23">
        <f>BP_Actuaria_2020_sensDPH!V36</f>
        <v>-12329.509457243526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Shrnutí</vt:lpstr>
      <vt:lpstr>BP_Actuaria_2020</vt:lpstr>
      <vt:lpstr>JAS_Shrnuti 2020</vt:lpstr>
      <vt:lpstr>JAS_Rozpocet 2020 (detail)</vt:lpstr>
      <vt:lpstr>JAS_Vyuctovani Ricany 2019</vt:lpstr>
      <vt:lpstr>CERA</vt:lpstr>
      <vt:lpstr>BP_Actuaria_2020_bez úpravy</vt:lpstr>
      <vt:lpstr>Graf</vt:lpstr>
      <vt:lpstr>BP_Actuaria_2020_sensDPH</vt:lpstr>
      <vt:lpstr>SensDPH_shrnutí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Stastkova</dc:creator>
  <cp:lastModifiedBy>Monika Stastkova</cp:lastModifiedBy>
  <dcterms:created xsi:type="dcterms:W3CDTF">2020-05-29T13:48:32Z</dcterms:created>
  <dcterms:modified xsi:type="dcterms:W3CDTF">2020-10-29T15:10:52Z</dcterms:modified>
</cp:coreProperties>
</file>